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/>
  </bookViews>
  <sheets>
    <sheet name="Polnord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X54" i="1"/>
  <c r="W55" i="1"/>
  <c r="W54" i="1"/>
  <c r="V55" i="1"/>
  <c r="V54" i="1"/>
  <c r="U55" i="1"/>
  <c r="U54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5" i="1"/>
  <c r="I54" i="1"/>
  <c r="H54" i="1"/>
  <c r="G54" i="1"/>
  <c r="M83" i="1"/>
  <c r="L83" i="1"/>
  <c r="Q32" i="1"/>
  <c r="P32" i="1"/>
  <c r="O32" i="1"/>
  <c r="N32" i="1"/>
  <c r="M32" i="1"/>
  <c r="L32" i="1"/>
  <c r="K32" i="1"/>
  <c r="J32" i="1"/>
  <c r="I32" i="1"/>
  <c r="H32" i="1"/>
  <c r="X32" i="1"/>
  <c r="W32" i="1"/>
  <c r="V32" i="1"/>
  <c r="U32" i="1"/>
  <c r="T32" i="1"/>
  <c r="S32" i="1"/>
  <c r="I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H22" i="1"/>
  <c r="G22" i="1"/>
  <c r="W44" i="1"/>
  <c r="W43" i="1"/>
  <c r="W41" i="1"/>
  <c r="W39" i="1"/>
  <c r="W37" i="1"/>
  <c r="V44" i="1"/>
  <c r="V43" i="1"/>
  <c r="V41" i="1"/>
  <c r="V39" i="1"/>
  <c r="V37" i="1"/>
  <c r="U44" i="1"/>
  <c r="U43" i="1"/>
  <c r="U41" i="1"/>
  <c r="U39" i="1"/>
  <c r="U37" i="1"/>
  <c r="S44" i="1"/>
  <c r="S43" i="1"/>
  <c r="S41" i="1"/>
  <c r="S39" i="1"/>
  <c r="S37" i="1"/>
  <c r="R44" i="1"/>
  <c r="R43" i="1"/>
  <c r="R41" i="1"/>
  <c r="R39" i="1"/>
  <c r="R37" i="1"/>
  <c r="Q44" i="1"/>
  <c r="Q43" i="1"/>
  <c r="Q41" i="1"/>
  <c r="Q39" i="1"/>
  <c r="Q37" i="1"/>
  <c r="N43" i="1"/>
  <c r="O43" i="1" s="1"/>
  <c r="O44" i="1"/>
  <c r="O41" i="1"/>
  <c r="O39" i="1"/>
  <c r="O37" i="1"/>
  <c r="N44" i="1"/>
  <c r="N41" i="1"/>
  <c r="N39" i="1"/>
  <c r="N37" i="1"/>
  <c r="M44" i="1"/>
  <c r="M43" i="1"/>
  <c r="M41" i="1"/>
  <c r="M39" i="1"/>
  <c r="M37" i="1"/>
  <c r="K44" i="1"/>
  <c r="K43" i="1"/>
  <c r="K41" i="1"/>
  <c r="K39" i="1"/>
  <c r="K37" i="1"/>
  <c r="J43" i="1"/>
  <c r="J44" i="1"/>
  <c r="J41" i="1"/>
  <c r="J39" i="1"/>
  <c r="J37" i="1"/>
  <c r="I44" i="1"/>
  <c r="I43" i="1"/>
  <c r="I41" i="1"/>
  <c r="I39" i="1"/>
  <c r="I37" i="1"/>
  <c r="M31" i="1" l="1"/>
  <c r="Q31" i="1"/>
  <c r="U31" i="1"/>
  <c r="U12" i="1"/>
  <c r="V12" i="1"/>
  <c r="W12" i="1"/>
  <c r="X12" i="1"/>
  <c r="M21" i="1"/>
  <c r="N21" i="1"/>
  <c r="O21" i="1"/>
  <c r="P21" i="1"/>
  <c r="J99" i="1" l="1"/>
  <c r="K99" i="1" s="1"/>
  <c r="L99" i="1" s="1"/>
  <c r="G95" i="1"/>
  <c r="I100" i="1" l="1"/>
  <c r="H100" i="1"/>
  <c r="I31" i="1"/>
  <c r="H21" i="1"/>
  <c r="H18" i="1"/>
  <c r="H12" i="1"/>
  <c r="H9" i="1"/>
  <c r="G21" i="1"/>
  <c r="G18" i="1"/>
  <c r="G107" i="1" s="1"/>
  <c r="G12" i="1"/>
  <c r="G9" i="1"/>
  <c r="L42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D170" i="1"/>
  <c r="N94" i="1"/>
  <c r="D169" i="1"/>
  <c r="M94" i="1"/>
  <c r="D171" i="1"/>
  <c r="K94" i="1"/>
  <c r="K97" i="1" s="1"/>
  <c r="I168" i="1"/>
  <c r="H168" i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H170" i="1" l="1"/>
  <c r="I170" i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J170" i="1" l="1"/>
  <c r="H174" i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X93" i="1"/>
  <c r="T3" i="11" s="1"/>
  <c r="T15" i="11" s="1"/>
  <c r="W93" i="1"/>
  <c r="S3" i="11" s="1"/>
  <c r="S15" i="11" s="1"/>
  <c r="V93" i="1"/>
  <c r="R3" i="11" s="1"/>
  <c r="R15" i="11" s="1"/>
  <c r="U93" i="1"/>
  <c r="Q3" i="11" s="1"/>
  <c r="Q15" i="11" s="1"/>
  <c r="T93" i="1"/>
  <c r="P3" i="11" s="1"/>
  <c r="P15" i="11" s="1"/>
  <c r="S93" i="1"/>
  <c r="O3" i="11" s="1"/>
  <c r="O15" i="11" s="1"/>
  <c r="R93" i="1"/>
  <c r="N3" i="11" s="1"/>
  <c r="N15" i="11" s="1"/>
  <c r="Q93" i="1"/>
  <c r="M3" i="11" s="1"/>
  <c r="M15" i="11" s="1"/>
  <c r="P93" i="1"/>
  <c r="L3" i="11" s="1"/>
  <c r="L15" i="11" s="1"/>
  <c r="O93" i="1"/>
  <c r="K3" i="11" s="1"/>
  <c r="K15" i="11" s="1"/>
  <c r="M93" i="1"/>
  <c r="I3" i="11" s="1"/>
  <c r="I15" i="11" s="1"/>
  <c r="L93" i="1"/>
  <c r="H3" i="11" s="1"/>
  <c r="H15" i="11" s="1"/>
  <c r="K93" i="1"/>
  <c r="G3" i="11" s="1"/>
  <c r="G15" i="11" s="1"/>
  <c r="I93" i="1"/>
  <c r="E3" i="11" s="1"/>
  <c r="E15" i="11" s="1"/>
  <c r="H93" i="1"/>
  <c r="D3" i="11" s="1"/>
  <c r="D15" i="11" s="1"/>
  <c r="G93" i="1"/>
  <c r="C3" i="11" l="1"/>
  <c r="C15" i="11" s="1"/>
  <c r="G96" i="1"/>
  <c r="K169" i="1"/>
  <c r="E44" i="1" s="1"/>
  <c r="K168" i="1"/>
  <c r="D44" i="1" s="1"/>
  <c r="K171" i="1"/>
  <c r="G44" i="1" s="1"/>
  <c r="J93" i="1"/>
  <c r="F3" i="11" s="1"/>
  <c r="F15" i="11" s="1"/>
  <c r="H94" i="1" l="1"/>
  <c r="AA44" i="1"/>
  <c r="I94" i="1"/>
  <c r="I97" i="1" s="1"/>
  <c r="G94" i="1"/>
  <c r="K173" i="1"/>
  <c r="J94" i="1"/>
  <c r="J97" i="1" s="1"/>
  <c r="X9" i="1"/>
  <c r="X18" i="1"/>
  <c r="X21" i="1"/>
  <c r="X29" i="1"/>
  <c r="X30" i="1"/>
  <c r="X38" i="1"/>
  <c r="X40" i="1"/>
  <c r="X42" i="1"/>
  <c r="X49" i="1"/>
  <c r="X104" i="1"/>
  <c r="X33" i="1" l="1"/>
  <c r="X25" i="1"/>
  <c r="X27" i="1" s="1"/>
  <c r="X108" i="1"/>
  <c r="X124" i="1"/>
  <c r="X122" i="1" s="1"/>
  <c r="T6" i="11" s="1"/>
  <c r="T10" i="11"/>
  <c r="X100" i="1"/>
  <c r="X95" i="1"/>
  <c r="X107" i="1" s="1"/>
  <c r="X96" i="1"/>
  <c r="X80" i="1"/>
  <c r="X79" i="1"/>
  <c r="T8" i="11" l="1"/>
  <c r="T14" i="11" s="1"/>
  <c r="Z42" i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10" i="11"/>
  <c r="J100" i="1"/>
  <c r="F10" i="11"/>
  <c r="J124" i="1"/>
  <c r="J122" i="1" s="1"/>
  <c r="F6" i="11" s="1"/>
  <c r="L124" i="1"/>
  <c r="L122" i="1" s="1"/>
  <c r="H6" i="11" s="1"/>
  <c r="H10" i="11"/>
  <c r="J10" i="11"/>
  <c r="N124" i="1"/>
  <c r="N122" i="1" s="1"/>
  <c r="J6" i="11" s="1"/>
  <c r="P124" i="1"/>
  <c r="P122" i="1" s="1"/>
  <c r="L6" i="11" s="1"/>
  <c r="L10" i="11"/>
  <c r="N10" i="11"/>
  <c r="R124" i="1"/>
  <c r="R122" i="1" s="1"/>
  <c r="N6" i="11" s="1"/>
  <c r="T124" i="1"/>
  <c r="T122" i="1" s="1"/>
  <c r="P6" i="11" s="1"/>
  <c r="P10" i="11"/>
  <c r="R10" i="11"/>
  <c r="V124" i="1"/>
  <c r="V122" i="1" s="1"/>
  <c r="R6" i="11" s="1"/>
  <c r="G124" i="1"/>
  <c r="C10" i="11"/>
  <c r="E10" i="11"/>
  <c r="I124" i="1"/>
  <c r="I122" i="1" s="1"/>
  <c r="E6" i="11" s="1"/>
  <c r="K124" i="1"/>
  <c r="K122" i="1" s="1"/>
  <c r="G6" i="11" s="1"/>
  <c r="G10" i="11"/>
  <c r="I10" i="11"/>
  <c r="M124" i="1"/>
  <c r="M122" i="1" s="1"/>
  <c r="I6" i="11" s="1"/>
  <c r="O124" i="1"/>
  <c r="O122" i="1" s="1"/>
  <c r="K6" i="11" s="1"/>
  <c r="K10" i="11"/>
  <c r="M10" i="11"/>
  <c r="Q124" i="1"/>
  <c r="Q122" i="1" s="1"/>
  <c r="M6" i="11" s="1"/>
  <c r="S124" i="1"/>
  <c r="S122" i="1" s="1"/>
  <c r="O6" i="11" s="1"/>
  <c r="O10" i="11"/>
  <c r="Q10" i="11"/>
  <c r="U124" i="1"/>
  <c r="U122" i="1" s="1"/>
  <c r="Q6" i="11" s="1"/>
  <c r="W124" i="1"/>
  <c r="W122" i="1" s="1"/>
  <c r="S6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122" i="1" l="1"/>
  <c r="C6" i="11" s="1"/>
  <c r="C8" i="11" s="1"/>
  <c r="C14" i="11" s="1"/>
  <c r="S8" i="11"/>
  <c r="S14" i="11" s="1"/>
  <c r="O8" i="11"/>
  <c r="O14" i="11" s="1"/>
  <c r="K8" i="11"/>
  <c r="K14" i="11" s="1"/>
  <c r="G8" i="11"/>
  <c r="G14" i="11" s="1"/>
  <c r="P8" i="11"/>
  <c r="P14" i="11" s="1"/>
  <c r="L8" i="11"/>
  <c r="L14" i="11" s="1"/>
  <c r="H8" i="11"/>
  <c r="H14" i="11" s="1"/>
  <c r="Q8" i="11"/>
  <c r="Q14" i="11" s="1"/>
  <c r="M8" i="11"/>
  <c r="M14" i="11" s="1"/>
  <c r="I8" i="11"/>
  <c r="I14" i="11" s="1"/>
  <c r="E8" i="11"/>
  <c r="E14" i="11" s="1"/>
  <c r="R8" i="11"/>
  <c r="R14" i="11" s="1"/>
  <c r="N8" i="11"/>
  <c r="N14" i="11" s="1"/>
  <c r="F8" i="11"/>
  <c r="F14" i="11" s="1"/>
  <c r="D8" i="11"/>
  <c r="D14" i="11" s="1"/>
  <c r="H33" i="1"/>
  <c r="L33" i="1"/>
  <c r="T33" i="1"/>
  <c r="I128" i="1"/>
  <c r="H128" i="1"/>
  <c r="W49" i="1"/>
  <c r="V49" i="1"/>
  <c r="U49" i="1"/>
  <c r="T49" i="1"/>
  <c r="S49" i="1"/>
  <c r="R49" i="1"/>
  <c r="R32" i="1" s="1"/>
  <c r="Q49" i="1"/>
  <c r="P49" i="1"/>
  <c r="P33" i="1" s="1"/>
  <c r="O49" i="1"/>
  <c r="N49" i="1"/>
  <c r="M49" i="1"/>
  <c r="L49" i="1"/>
  <c r="K49" i="1"/>
  <c r="J49" i="1"/>
  <c r="I49" i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U83" i="1" l="1"/>
  <c r="R83" i="1"/>
  <c r="W105" i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V83" i="1" s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K83" i="1" s="1"/>
  <c r="L82" i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P82" i="1"/>
  <c r="F151" i="1"/>
  <c r="F153" i="1" s="1"/>
  <c r="S82" i="1"/>
  <c r="S83" i="1" s="1"/>
  <c r="T82" i="1"/>
  <c r="T83" i="1" s="1"/>
  <c r="H160" i="1"/>
  <c r="I160" i="1"/>
  <c r="M82" i="1"/>
  <c r="J158" i="1"/>
  <c r="V75" i="1"/>
  <c r="N82" i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X83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W83" i="1" s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K151" i="1" l="1"/>
  <c r="G40" i="1" s="1"/>
  <c r="J82" i="1" s="1"/>
  <c r="K148" i="1"/>
  <c r="D40" i="1" s="1"/>
  <c r="K150" i="1"/>
  <c r="F40" i="1" s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I82" i="1" l="1"/>
  <c r="H82" i="1"/>
  <c r="G82" i="1"/>
  <c r="K153" i="1"/>
  <c r="J109" i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83" i="1" s="1"/>
  <c r="J72" i="1"/>
  <c r="AA37" i="1"/>
  <c r="D39" i="1"/>
  <c r="D41" i="1" s="1"/>
  <c r="H66" i="1"/>
  <c r="I66" i="1"/>
  <c r="G66" i="1"/>
  <c r="F39" i="1"/>
  <c r="H81" i="1" s="1"/>
  <c r="H106" i="1" l="1"/>
  <c r="G106" i="1"/>
  <c r="I106" i="1"/>
  <c r="J105" i="1"/>
  <c r="J73" i="1"/>
  <c r="J74" i="1"/>
  <c r="J75" i="1"/>
  <c r="I72" i="1"/>
  <c r="H72" i="1"/>
  <c r="I81" i="1"/>
  <c r="I83" i="1" s="1"/>
  <c r="G81" i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G111" i="1" s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93" i="1" l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4" i="11" s="1"/>
  <c r="J15" i="11"/>
</calcChain>
</file>

<file path=xl/sharedStrings.xml><?xml version="1.0" encoding="utf-8"?>
<sst xmlns="http://schemas.openxmlformats.org/spreadsheetml/2006/main" count="317" uniqueCount="170">
  <si>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</si>
  <si>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</si>
  <si>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</si>
  <si>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</si>
  <si>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</si>
  <si>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</si>
  <si>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</si>
  <si>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</si>
  <si>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</si>
  <si>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</si>
  <si>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</si>
  <si>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</si>
  <si>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</si>
  <si>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</si>
  <si>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</si>
  <si>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</si>
  <si>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</si>
  <si>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</si>
  <si>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</si>
  <si>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</si>
  <si>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</si>
  <si>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</si>
  <si>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</si>
  <si>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</si>
  <si>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</si>
  <si>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</si>
  <si>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</si>
  <si>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</si>
  <si>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</si>
  <si>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</si>
  <si>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</si>
  <si>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</si>
  <si>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</si>
  <si>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</si>
  <si>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</si>
  <si>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</si>
  <si>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</si>
  <si>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</si>
  <si>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</si>
  <si>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</si>
  <si>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</si>
  <si>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</si>
  <si>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</si>
  <si>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</si>
  <si>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</si>
  <si>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</si>
  <si>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</si>
  <si>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</si>
  <si>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</si>
  <si>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</si>
  <si>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</si>
  <si>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</si>
  <si>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</si>
  <si>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</si>
  <si>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</si>
  <si>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</si>
  <si>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</si>
  <si>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</si>
  <si>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</si>
  <si>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</si>
  <si>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</si>
  <si>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</si>
  <si>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</si>
  <si>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</si>
  <si>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</si>
  <si>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</si>
  <si>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</si>
  <si>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</si>
  <si>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</si>
  <si>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</si>
  <si>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</si>
  <si>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</si>
  <si>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</si>
  <si>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</si>
  <si>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</si>
  <si>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</si>
  <si>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</si>
  <si>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</si>
  <si>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</si>
  <si>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</si>
  <si>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</si>
  <si>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</si>
  <si>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</si>
  <si>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</si>
  <si>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</si>
  <si>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</si>
  <si>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</si>
  <si>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</si>
  <si>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</si>
  <si>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</si>
  <si>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</si>
  <si>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</si>
  <si>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</si>
  <si>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</si>
  <si>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</si>
  <si>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</si>
  <si>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</si>
  <si>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</si>
  <si>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</si>
  <si>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</si>
  <si>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</si>
  <si>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</si>
  <si>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</si>
  <si>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</si>
  <si>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</si>
  <si>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</si>
  <si>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</si>
  <si>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</si>
  <si>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</si>
  <si>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</si>
  <si>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</si>
  <si>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</si>
  <si>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</si>
  <si>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</si>
  <si>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</si>
  <si>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</si>
  <si>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</si>
  <si>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</si>
  <si>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</si>
  <si>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</si>
  <si>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</si>
  <si>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</si>
  <si>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</si>
  <si>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</si>
  <si>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</si>
  <si>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</si>
  <si>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</si>
  <si>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</si>
  <si>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</si>
  <si>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</si>
  <si>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</si>
  <si>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</si>
  <si>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</si>
  <si>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</si>
  <si>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</si>
  <si>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</si>
  <si>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</si>
  <si>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</si>
  <si>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</si>
  <si>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</si>
  <si>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</si>
  <si>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</si>
  <si>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</si>
  <si>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</si>
  <si>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</si>
  <si>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</si>
  <si>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</si>
  <si>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</si>
  <si>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</si>
  <si>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</si>
  <si>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</si>
  <si>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</si>
  <si>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</si>
  <si>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</si>
  <si>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</si>
  <si>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</si>
  <si>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</si>
  <si>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</si>
  <si>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</si>
  <si>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</si>
  <si>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</si>
  <si>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</si>
  <si>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</si>
  <si>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</si>
  <si>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</si>
  <si>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</si>
  <si>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</si>
  <si>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</si>
  <si>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OK</t>
  </si>
  <si>
    <t>Dane finansowe Polnord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</si>
</sst>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Polnord - struktura ceny akcji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51.576256212037549</c:v>
                </c:pt>
                <c:pt idx="1">
                  <c:v>52.297901711761455</c:v>
                </c:pt>
                <c:pt idx="2">
                  <c:v>50.266581762608254</c:v>
                </c:pt>
                <c:pt idx="3">
                  <c:v>48.571538114569236</c:v>
                </c:pt>
                <c:pt idx="4">
                  <c:v>50.796663660955822</c:v>
                </c:pt>
                <c:pt idx="5">
                  <c:v>51.481605049594229</c:v>
                </c:pt>
                <c:pt idx="6">
                  <c:v>51.930360360360361</c:v>
                </c:pt>
                <c:pt idx="7">
                  <c:v>51.889108910891089</c:v>
                </c:pt>
                <c:pt idx="8">
                  <c:v>52.183033303330333</c:v>
                </c:pt>
                <c:pt idx="9">
                  <c:v>52.911926192619262</c:v>
                </c:pt>
                <c:pt idx="10">
                  <c:v>57.270953237410076</c:v>
                </c:pt>
                <c:pt idx="11">
                  <c:v>53.40126050420168</c:v>
                </c:pt>
                <c:pt idx="12">
                  <c:v>53.889621848739495</c:v>
                </c:pt>
                <c:pt idx="13">
                  <c:v>53.970798319327734</c:v>
                </c:pt>
                <c:pt idx="14" formatCode="#\ ##0.00_ ;[Red]\-#\ ##0.00\ ">
                  <c:v>54.34521008403361</c:v>
                </c:pt>
                <c:pt idx="15" formatCode="#\ ##0.00_ ;[Red]\-#\ ##0.00\ ">
                  <c:v>54.775798319327734</c:v>
                </c:pt>
                <c:pt idx="16" formatCode="#\ ##0.00_ ;[Red]\-#\ ##0.00\ ">
                  <c:v>51.79703472493172</c:v>
                </c:pt>
                <c:pt idx="17" formatCode="#\ ##0.00_ ;[Red]\-#\ ##0.00\ ">
                  <c:v>51.887202497073737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28.153064605190501</c:v>
                </c:pt>
                <c:pt idx="1">
                  <c:v>29.23848702374379</c:v>
                </c:pt>
                <c:pt idx="2">
                  <c:v>21.139633214467654</c:v>
                </c:pt>
                <c:pt idx="3">
                  <c:v>18.476815516463688</c:v>
                </c:pt>
                <c:pt idx="4">
                  <c:v>20.246573489630297</c:v>
                </c:pt>
                <c:pt idx="5">
                  <c:v>25.028809738503156</c:v>
                </c:pt>
                <c:pt idx="6">
                  <c:v>26.098333333333336</c:v>
                </c:pt>
                <c:pt idx="7">
                  <c:v>25.716741674167416</c:v>
                </c:pt>
                <c:pt idx="8">
                  <c:v>27.956660666066607</c:v>
                </c:pt>
                <c:pt idx="9">
                  <c:v>28.706120612061209</c:v>
                </c:pt>
                <c:pt idx="10">
                  <c:v>26.506924460431655</c:v>
                </c:pt>
                <c:pt idx="11">
                  <c:v>22.42844537815126</c:v>
                </c:pt>
                <c:pt idx="12">
                  <c:v>15.409621848739494</c:v>
                </c:pt>
                <c:pt idx="13">
                  <c:v>12.584327731092436</c:v>
                </c:pt>
                <c:pt idx="14" formatCode="#\ ##0.00_ ;[Red]\-#\ ##0.00\ ">
                  <c:v>12.880714285714287</c:v>
                </c:pt>
                <c:pt idx="15" formatCode="#\ ##0.00_ ;[Red]\-#\ ##0.00\ ">
                  <c:v>20.543907563025208</c:v>
                </c:pt>
                <c:pt idx="16" formatCode="#\ ##0.00_ ;[Red]\-#\ ##0.00\ ">
                  <c:v>20.758252048380804</c:v>
                </c:pt>
                <c:pt idx="17" formatCode="#\ ##0.00_ ;[Red]\-#\ ##0.00\ ">
                  <c:v>22.233203277409288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 formatCode="#\ ##0.00_ ;[Red]\-#\ ##0.00\ ">
                  <c:v>0.32</c:v>
                </c:pt>
                <c:pt idx="15" formatCode="#\ ##0.00_ ;[Red]\-#\ ##0.00\ ">
                  <c:v>0</c:v>
                </c:pt>
                <c:pt idx="16" formatCode="#\ ##0.00_ ;[Red]\-#\ ##0.00\ ">
                  <c:v>0</c:v>
                </c:pt>
                <c:pt idx="17" formatCode="#\ ##0.00_ ;[Red]\-#\ ##0.00\ ">
                  <c:v>0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-50.439320817228058</c:v>
                </c:pt>
                <c:pt idx="1">
                  <c:v>-54.636388735505243</c:v>
                </c:pt>
                <c:pt idx="2">
                  <c:v>-39.906214977075919</c:v>
                </c:pt>
                <c:pt idx="3">
                  <c:v>-30.218353631032926</c:v>
                </c:pt>
                <c:pt idx="4">
                  <c:v>-36.293237150586108</c:v>
                </c:pt>
                <c:pt idx="5">
                  <c:v>-38.900414788097393</c:v>
                </c:pt>
                <c:pt idx="6">
                  <c:v>-46.028693693693697</c:v>
                </c:pt>
                <c:pt idx="7">
                  <c:v>-40.185850585058503</c:v>
                </c:pt>
                <c:pt idx="8">
                  <c:v>-47.799693969396941</c:v>
                </c:pt>
                <c:pt idx="9">
                  <c:v>-51.478046804680474</c:v>
                </c:pt>
                <c:pt idx="10">
                  <c:v>-58.987877697841732</c:v>
                </c:pt>
                <c:pt idx="11">
                  <c:v>-64.349705882352936</c:v>
                </c:pt>
                <c:pt idx="12">
                  <c:v>-56.019243697478984</c:v>
                </c:pt>
                <c:pt idx="13">
                  <c:v>-51.675126050420175</c:v>
                </c:pt>
                <c:pt idx="14" formatCode="#\ ##0.00_ ;[Red]\-#\ ##0.00\ ">
                  <c:v>-52.4459243697479</c:v>
                </c:pt>
                <c:pt idx="15" formatCode="#\ ##0.00_ ;[Red]\-#\ ##0.00\ ">
                  <c:v>-61.819705882352935</c:v>
                </c:pt>
                <c:pt idx="16" formatCode="#\ ##0.00_ ;[Red]\-#\ ##0.00\ ">
                  <c:v>-62.155286773312532</c:v>
                </c:pt>
                <c:pt idx="17" formatCode="#\ ##0.00_ ;[Red]\-#\ ##0.00\ ">
                  <c:v>-67.470405774483027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236608"/>
        <c:axId val="272231904"/>
      </c:areaChart>
      <c:catAx>
        <c:axId val="2722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1904"/>
        <c:crosses val="autoZero"/>
        <c:auto val="1"/>
        <c:lblAlgn val="ctr"/>
        <c:lblOffset val="100"/>
        <c:noMultiLvlLbl val="0"/>
      </c:catAx>
      <c:valAx>
        <c:axId val="2722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6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Polnord - struktura ceny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51.576256212037549</c:v>
                </c:pt>
                <c:pt idx="1">
                  <c:v>52.297901711761455</c:v>
                </c:pt>
                <c:pt idx="2">
                  <c:v>50.266581762608254</c:v>
                </c:pt>
                <c:pt idx="3">
                  <c:v>48.571538114569236</c:v>
                </c:pt>
                <c:pt idx="4">
                  <c:v>50.796663660955822</c:v>
                </c:pt>
                <c:pt idx="5">
                  <c:v>51.481605049594229</c:v>
                </c:pt>
                <c:pt idx="6">
                  <c:v>51.930360360360361</c:v>
                </c:pt>
                <c:pt idx="7">
                  <c:v>51.889108910891089</c:v>
                </c:pt>
                <c:pt idx="8">
                  <c:v>52.183033303330333</c:v>
                </c:pt>
                <c:pt idx="9">
                  <c:v>52.911926192619262</c:v>
                </c:pt>
                <c:pt idx="10">
                  <c:v>57.270953237410076</c:v>
                </c:pt>
                <c:pt idx="11">
                  <c:v>53.40126050420168</c:v>
                </c:pt>
                <c:pt idx="12">
                  <c:v>53.889621848739495</c:v>
                </c:pt>
                <c:pt idx="13">
                  <c:v>53.970798319327734</c:v>
                </c:pt>
                <c:pt idx="14" formatCode="#\ ##0.00_ ;[Red]\-#\ ##0.00\ ">
                  <c:v>54.34521008403361</c:v>
                </c:pt>
                <c:pt idx="15" formatCode="#\ ##0.00_ ;[Red]\-#\ ##0.00\ ">
                  <c:v>54.775798319327734</c:v>
                </c:pt>
                <c:pt idx="16" formatCode="#\ ##0.00_ ;[Red]\-#\ ##0.00\ ">
                  <c:v>51.79703472493172</c:v>
                </c:pt>
                <c:pt idx="17" formatCode="#\ ##0.00_ ;[Red]\-#\ ##0.00\ ">
                  <c:v>51.887202497073737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28.153064605190501</c:v>
                </c:pt>
                <c:pt idx="1">
                  <c:v>29.23848702374379</c:v>
                </c:pt>
                <c:pt idx="2">
                  <c:v>21.139633214467654</c:v>
                </c:pt>
                <c:pt idx="3">
                  <c:v>18.476815516463688</c:v>
                </c:pt>
                <c:pt idx="4">
                  <c:v>20.246573489630297</c:v>
                </c:pt>
                <c:pt idx="5">
                  <c:v>25.028809738503156</c:v>
                </c:pt>
                <c:pt idx="6">
                  <c:v>26.098333333333336</c:v>
                </c:pt>
                <c:pt idx="7">
                  <c:v>25.716741674167416</c:v>
                </c:pt>
                <c:pt idx="8">
                  <c:v>27.956660666066607</c:v>
                </c:pt>
                <c:pt idx="9">
                  <c:v>28.706120612061209</c:v>
                </c:pt>
                <c:pt idx="10">
                  <c:v>26.506924460431655</c:v>
                </c:pt>
                <c:pt idx="11">
                  <c:v>22.42844537815126</c:v>
                </c:pt>
                <c:pt idx="12">
                  <c:v>15.409621848739494</c:v>
                </c:pt>
                <c:pt idx="13">
                  <c:v>12.584327731092436</c:v>
                </c:pt>
                <c:pt idx="14" formatCode="#\ ##0.00_ ;[Red]\-#\ ##0.00\ ">
                  <c:v>12.880714285714287</c:v>
                </c:pt>
                <c:pt idx="15" formatCode="#\ ##0.00_ ;[Red]\-#\ ##0.00\ ">
                  <c:v>20.543907563025208</c:v>
                </c:pt>
                <c:pt idx="16" formatCode="#\ ##0.00_ ;[Red]\-#\ ##0.00\ ">
                  <c:v>20.758252048380804</c:v>
                </c:pt>
                <c:pt idx="17" formatCode="#\ ##0.00_ ;[Red]\-#\ ##0.00\ ">
                  <c:v>22.233203277409288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 formatCode="#\ ##0.00_ ;[Red]\-#\ ##0.00\ ">
                  <c:v>0.32</c:v>
                </c:pt>
                <c:pt idx="15" formatCode="#\ ##0.00_ ;[Red]\-#\ ##0.00\ ">
                  <c:v>0</c:v>
                </c:pt>
                <c:pt idx="16" formatCode="#\ ##0.00_ ;[Red]\-#\ ##0.00\ ">
                  <c:v>0</c:v>
                </c:pt>
                <c:pt idx="17" formatCode="#\ ##0.00_ ;[Red]\-#\ ##0.00\ 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-50.439320817228058</c:v>
                </c:pt>
                <c:pt idx="1">
                  <c:v>-54.636388735505243</c:v>
                </c:pt>
                <c:pt idx="2">
                  <c:v>-39.906214977075919</c:v>
                </c:pt>
                <c:pt idx="3">
                  <c:v>-30.218353631032926</c:v>
                </c:pt>
                <c:pt idx="4">
                  <c:v>-36.293237150586108</c:v>
                </c:pt>
                <c:pt idx="5">
                  <c:v>-38.900414788097393</c:v>
                </c:pt>
                <c:pt idx="6">
                  <c:v>-46.028693693693697</c:v>
                </c:pt>
                <c:pt idx="7">
                  <c:v>-40.185850585058503</c:v>
                </c:pt>
                <c:pt idx="8">
                  <c:v>-47.799693969396941</c:v>
                </c:pt>
                <c:pt idx="9">
                  <c:v>-51.478046804680474</c:v>
                </c:pt>
                <c:pt idx="10">
                  <c:v>-58.987877697841732</c:v>
                </c:pt>
                <c:pt idx="11">
                  <c:v>-64.349705882352936</c:v>
                </c:pt>
                <c:pt idx="12">
                  <c:v>-56.019243697478984</c:v>
                </c:pt>
                <c:pt idx="13">
                  <c:v>-51.675126050420175</c:v>
                </c:pt>
                <c:pt idx="14" formatCode="#\ ##0.00_ ;[Red]\-#\ ##0.00\ ">
                  <c:v>-52.4459243697479</c:v>
                </c:pt>
                <c:pt idx="15" formatCode="#\ ##0.00_ ;[Red]\-#\ ##0.00\ ">
                  <c:v>-61.819705882352935</c:v>
                </c:pt>
                <c:pt idx="16" formatCode="#\ ##0.00_ ;[Red]\-#\ ##0.00\ ">
                  <c:v>-62.155286773312532</c:v>
                </c:pt>
                <c:pt idx="17" formatCode="#\ ##0.00_ ;[Red]\-#\ ##0.00\ ">
                  <c:v>-67.470405774483027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33080"/>
        <c:axId val="272237000"/>
      </c:lineChart>
      <c:catAx>
        <c:axId val="2722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7000"/>
        <c:crosses val="autoZero"/>
        <c:auto val="1"/>
        <c:lblAlgn val="ctr"/>
        <c:lblOffset val="100"/>
        <c:noMultiLvlLbl val="0"/>
      </c:catAx>
      <c:valAx>
        <c:axId val="27223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Polnord - kurs akcji i wartość księgowa na akcję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87292213473316"/>
          <c:y val="0.17576443569553807"/>
          <c:w val="0.73267519685039373"/>
          <c:h val="0.53783136482939631"/>
        </c:manualLayout>
      </c:layout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>
                  <c:v>0.32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29.29</c:v>
                </c:pt>
                <c:pt idx="1">
                  <c:v>26.9</c:v>
                </c:pt>
                <c:pt idx="2">
                  <c:v>31.499999999999986</c:v>
                </c:pt>
                <c:pt idx="3">
                  <c:v>36.83</c:v>
                </c:pt>
                <c:pt idx="4">
                  <c:v>34.750000000000014</c:v>
                </c:pt>
                <c:pt idx="5">
                  <c:v>37.61</c:v>
                </c:pt>
                <c:pt idx="6">
                  <c:v>32</c:v>
                </c:pt>
                <c:pt idx="7">
                  <c:v>38.28</c:v>
                </c:pt>
                <c:pt idx="8">
                  <c:v>33.200000000000003</c:v>
                </c:pt>
                <c:pt idx="9">
                  <c:v>31</c:v>
                </c:pt>
                <c:pt idx="10">
                  <c:v>25.65</c:v>
                </c:pt>
                <c:pt idx="11">
                  <c:v>11.799999999999997</c:v>
                </c:pt>
                <c:pt idx="12">
                  <c:v>13.599999999999994</c:v>
                </c:pt>
                <c:pt idx="13">
                  <c:v>15.199999999999989</c:v>
                </c:pt>
                <c:pt idx="14">
                  <c:v>15.099999999999994</c:v>
                </c:pt>
                <c:pt idx="15">
                  <c:v>13.5</c:v>
                </c:pt>
                <c:pt idx="16">
                  <c:v>10.399999999999999</c:v>
                </c:pt>
                <c:pt idx="17">
                  <c:v>6.6500000000000057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51.576256212037549</c:v>
                </c:pt>
                <c:pt idx="1">
                  <c:v>52.297901711761455</c:v>
                </c:pt>
                <c:pt idx="2">
                  <c:v>50.266581762608254</c:v>
                </c:pt>
                <c:pt idx="3">
                  <c:v>48.571538114569236</c:v>
                </c:pt>
                <c:pt idx="4">
                  <c:v>50.796663660955822</c:v>
                </c:pt>
                <c:pt idx="5">
                  <c:v>51.481605049594229</c:v>
                </c:pt>
                <c:pt idx="6">
                  <c:v>51.930360360360361</c:v>
                </c:pt>
                <c:pt idx="7">
                  <c:v>51.889108910891089</c:v>
                </c:pt>
                <c:pt idx="8">
                  <c:v>52.183033303330333</c:v>
                </c:pt>
                <c:pt idx="9">
                  <c:v>52.911926192619262</c:v>
                </c:pt>
                <c:pt idx="10">
                  <c:v>57.270953237410076</c:v>
                </c:pt>
                <c:pt idx="11">
                  <c:v>53.40126050420168</c:v>
                </c:pt>
                <c:pt idx="12">
                  <c:v>53.889621848739495</c:v>
                </c:pt>
                <c:pt idx="13">
                  <c:v>53.970798319327734</c:v>
                </c:pt>
                <c:pt idx="14">
                  <c:v>54.34521008403361</c:v>
                </c:pt>
                <c:pt idx="15">
                  <c:v>54.775798319327734</c:v>
                </c:pt>
                <c:pt idx="16">
                  <c:v>51.79703472493172</c:v>
                </c:pt>
                <c:pt idx="17">
                  <c:v>51.887202497073737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233472"/>
        <c:axId val="272234256"/>
        <c:axId val="273742776"/>
      </c:area3DChart>
      <c:catAx>
        <c:axId val="2722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4256"/>
        <c:crosses val="autoZero"/>
        <c:auto val="1"/>
        <c:lblAlgn val="ctr"/>
        <c:lblOffset val="100"/>
        <c:noMultiLvlLbl val="0"/>
      </c:catAx>
      <c:valAx>
        <c:axId val="27223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3472"/>
        <c:crosses val="autoZero"/>
        <c:crossBetween val="midCat"/>
      </c:valAx>
      <c:serAx>
        <c:axId val="273742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22342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16</xdr:row>
      <xdr:rowOff>147637</xdr:rowOff>
    </xdr:from>
    <xdr:to>
      <xdr:col>19</xdr:col>
      <xdr:colOff>228600</xdr:colOff>
      <xdr:row>31</xdr:row>
      <xdr:rowOff>33337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32</xdr:row>
      <xdr:rowOff>14287</xdr:rowOff>
    </xdr:from>
    <xdr:to>
      <xdr:col>19</xdr:col>
      <xdr:colOff>228600</xdr:colOff>
      <xdr:row>46</xdr:row>
      <xdr:rowOff>90487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847725</xdr:colOff>
      <xdr:row>17</xdr:row>
      <xdr:rowOff>14287</xdr:rowOff>
    </xdr:from>
    <xdr:to>
      <xdr:col>7</xdr:col>
      <xdr:colOff>38100</xdr:colOff>
      <xdr:row>31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POLNORD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29.29</v>
          </cell>
        </row>
        <row r="191">
          <cell r="E191">
            <v>26.9</v>
          </cell>
        </row>
        <row r="252">
          <cell r="E252">
            <v>31.5</v>
          </cell>
          <cell r="FR252">
            <v>36.14152</v>
          </cell>
        </row>
        <row r="318">
          <cell r="E318">
            <v>36.83</v>
          </cell>
          <cell r="FR318">
            <v>31.808167330677293</v>
          </cell>
        </row>
        <row r="381">
          <cell r="E381">
            <v>34.75</v>
          </cell>
          <cell r="FR381">
            <v>32.962936507936504</v>
          </cell>
        </row>
        <row r="443">
          <cell r="E443">
            <v>37.61</v>
          </cell>
          <cell r="FR443">
            <v>35.41249999999998</v>
          </cell>
        </row>
        <row r="505">
          <cell r="E505">
            <v>32</v>
          </cell>
          <cell r="FR505">
            <v>36.846837944664031</v>
          </cell>
        </row>
        <row r="571">
          <cell r="E571">
            <v>38.28</v>
          </cell>
          <cell r="FR571">
            <v>36.110474308300397</v>
          </cell>
        </row>
        <row r="634">
          <cell r="E634">
            <v>33.200000000000003</v>
          </cell>
          <cell r="FR634">
            <v>36.333438735177857</v>
          </cell>
        </row>
        <row r="697">
          <cell r="E697">
            <v>31</v>
          </cell>
          <cell r="FR697">
            <v>35.542834645669288</v>
          </cell>
        </row>
        <row r="758">
          <cell r="E758">
            <v>25.65</v>
          </cell>
          <cell r="FR758">
            <v>33.491462450592863</v>
          </cell>
        </row>
        <row r="823">
          <cell r="E823">
            <v>11.8</v>
          </cell>
          <cell r="FR823">
            <v>28.699007936507922</v>
          </cell>
        </row>
        <row r="885">
          <cell r="E885">
            <v>13.6</v>
          </cell>
          <cell r="FR885">
            <v>23.277968127490034</v>
          </cell>
        </row>
        <row r="949">
          <cell r="E949">
            <v>15.2</v>
          </cell>
          <cell r="FR949">
            <v>19.389682539682539</v>
          </cell>
        </row>
        <row r="1009">
          <cell r="E1009">
            <v>15.1</v>
          </cell>
          <cell r="FR1009">
            <v>15.469163346613549</v>
          </cell>
        </row>
        <row r="1072">
          <cell r="E1072">
            <v>13.5</v>
          </cell>
          <cell r="FR1072">
            <v>14.30084337349399</v>
          </cell>
        </row>
        <row r="1133">
          <cell r="E1133">
            <v>10.4</v>
          </cell>
          <cell r="FR1133">
            <v>13.768185483870978</v>
          </cell>
        </row>
        <row r="1195">
          <cell r="E1195">
            <v>6.65</v>
          </cell>
          <cell r="FR1195">
            <v>12.063170731707318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tabSelected="1" workbookViewId="0">
      <pane xSplit="2" ySplit="2" topLeftCell="V103" activePane="bottomRight" state="frozen"/>
      <selection pane="topRight" activeCell="C1" sqref="C1"/>
      <selection pane="bottomLeft" activeCell="A3" sqref="A3"/>
      <selection pane="bottomRight" activeCell="P111" sqref="P111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3" width="9.7109375" customWidth="1"/>
    <col min="4" max="6" width="9.7109375" hidden="1" customWidth="1"/>
    <col min="7" max="24" width="12.7109375" customWidth="1"/>
    <col min="25" max="25" width="2.5703125" customWidth="1"/>
    <col min="26" max="26" width="10.28515625" bestFit="1" customWidth="1"/>
    <col min="27" max="27" width="10.28515625" customWidth="1"/>
  </cols>
  <sheetData>
    <row r="2" spans="2:24" x14ac:dyDescent="0.25">
      <c r="B2" s="9" t="s">
        <v>169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299143</v>
      </c>
      <c r="H6" s="3">
        <v>326564</v>
      </c>
      <c r="I6" s="3">
        <v>360032</v>
      </c>
      <c r="J6" s="3">
        <v>403199</v>
      </c>
      <c r="K6" s="3">
        <v>478016</v>
      </c>
      <c r="L6" s="3">
        <v>432858</v>
      </c>
      <c r="M6" s="3">
        <v>512116</v>
      </c>
      <c r="N6" s="3">
        <v>667969</v>
      </c>
      <c r="O6" s="3">
        <v>727555</v>
      </c>
      <c r="P6" s="3">
        <v>738309</v>
      </c>
      <c r="Q6" s="3">
        <v>734806</v>
      </c>
      <c r="R6" s="3">
        <v>744413</v>
      </c>
      <c r="S6" s="3">
        <v>754557</v>
      </c>
      <c r="T6" s="3">
        <v>767158</v>
      </c>
      <c r="U6" s="3">
        <v>754655</v>
      </c>
      <c r="V6" s="3">
        <v>1222236</v>
      </c>
      <c r="W6" s="3">
        <v>1243044</v>
      </c>
      <c r="X6" s="3">
        <v>1270556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31158</v>
      </c>
      <c r="H8" s="7">
        <v>52125</v>
      </c>
      <c r="I8" s="7">
        <v>57392</v>
      </c>
      <c r="J8" s="7">
        <v>111587</v>
      </c>
      <c r="K8" s="7">
        <v>59112</v>
      </c>
      <c r="L8" s="7">
        <v>99047</v>
      </c>
      <c r="M8" s="7">
        <v>176938</v>
      </c>
      <c r="N8" s="7">
        <v>37787</v>
      </c>
      <c r="O8" s="7">
        <v>52140</v>
      </c>
      <c r="P8" s="7">
        <v>77224</v>
      </c>
      <c r="Q8" s="7">
        <v>58157</v>
      </c>
      <c r="R8" s="7">
        <v>52350</v>
      </c>
      <c r="S8" s="7">
        <v>52795</v>
      </c>
      <c r="T8" s="7">
        <v>71173</v>
      </c>
      <c r="U8" s="7">
        <v>64127</v>
      </c>
      <c r="V8" s="7">
        <v>131333</v>
      </c>
      <c r="W8" s="7">
        <v>69997</v>
      </c>
      <c r="X8" s="7">
        <v>67353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1474093</v>
      </c>
      <c r="H9" s="7">
        <f t="shared" si="0"/>
        <v>1531626</v>
      </c>
      <c r="I9" s="7">
        <f t="shared" ref="I9:X9" si="1">+I10-I8</f>
        <v>1510216</v>
      </c>
      <c r="J9" s="7">
        <f t="shared" si="1"/>
        <v>1458140</v>
      </c>
      <c r="K9" s="7">
        <f t="shared" si="1"/>
        <v>1485353</v>
      </c>
      <c r="L9" s="7">
        <f t="shared" si="1"/>
        <v>1507907</v>
      </c>
      <c r="M9" s="7">
        <f t="shared" si="1"/>
        <v>1475722</v>
      </c>
      <c r="N9" s="7">
        <f t="shared" si="1"/>
        <v>1369618</v>
      </c>
      <c r="O9" s="7">
        <f t="shared" si="1"/>
        <v>1361080</v>
      </c>
      <c r="P9" s="7">
        <f t="shared" si="1"/>
        <v>1419402</v>
      </c>
      <c r="Q9" s="7">
        <f t="shared" si="1"/>
        <v>1565829</v>
      </c>
      <c r="R9" s="7">
        <f t="shared" si="1"/>
        <v>1478812</v>
      </c>
      <c r="S9" s="7">
        <f t="shared" si="1"/>
        <v>1413879</v>
      </c>
      <c r="T9" s="7">
        <f t="shared" si="1"/>
        <v>1394862</v>
      </c>
      <c r="U9" s="7">
        <f t="shared" si="1"/>
        <v>1443766</v>
      </c>
      <c r="V9" s="7">
        <f t="shared" si="1"/>
        <v>971491</v>
      </c>
      <c r="W9" s="7">
        <f t="shared" si="1"/>
        <v>944475</v>
      </c>
      <c r="X9" s="7">
        <f t="shared" si="1"/>
        <v>925326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1505251</v>
      </c>
      <c r="H10" s="3">
        <v>1583751</v>
      </c>
      <c r="I10" s="3">
        <v>1567608</v>
      </c>
      <c r="J10" s="3">
        <v>1569727</v>
      </c>
      <c r="K10" s="3">
        <v>1544465</v>
      </c>
      <c r="L10" s="3">
        <v>1606954</v>
      </c>
      <c r="M10" s="3">
        <v>1652660</v>
      </c>
      <c r="N10" s="3">
        <v>1407405</v>
      </c>
      <c r="O10" s="3">
        <v>1413220</v>
      </c>
      <c r="P10" s="3">
        <v>1496626</v>
      </c>
      <c r="Q10" s="3">
        <v>1623986</v>
      </c>
      <c r="R10" s="3">
        <v>1531162</v>
      </c>
      <c r="S10" s="3">
        <v>1466674</v>
      </c>
      <c r="T10" s="3">
        <v>1466035</v>
      </c>
      <c r="U10" s="3">
        <v>1507893</v>
      </c>
      <c r="V10" s="3">
        <v>1102824</v>
      </c>
      <c r="W10" s="3">
        <v>1014472</v>
      </c>
      <c r="X10" s="3">
        <v>992679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1804394</v>
      </c>
      <c r="H14" s="10">
        <v>1910315</v>
      </c>
      <c r="I14" s="10">
        <v>1927640</v>
      </c>
      <c r="J14" s="10">
        <v>1972926</v>
      </c>
      <c r="K14" s="10">
        <v>2022481</v>
      </c>
      <c r="L14" s="10">
        <v>2039812</v>
      </c>
      <c r="M14" s="10">
        <v>2164776</v>
      </c>
      <c r="N14" s="10">
        <v>2075374</v>
      </c>
      <c r="O14" s="10">
        <v>2140775</v>
      </c>
      <c r="P14" s="10">
        <v>2234935</v>
      </c>
      <c r="Q14" s="10">
        <v>2358792</v>
      </c>
      <c r="R14" s="10">
        <v>2275575</v>
      </c>
      <c r="S14" s="10">
        <v>2221231</v>
      </c>
      <c r="T14" s="10">
        <v>2233193</v>
      </c>
      <c r="U14" s="10">
        <v>2262548</v>
      </c>
      <c r="V14" s="10">
        <v>2325060</v>
      </c>
      <c r="W14" s="10">
        <v>2257516</v>
      </c>
      <c r="X14" s="10">
        <v>2263235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509852</v>
      </c>
      <c r="H16" s="7">
        <v>529509</v>
      </c>
      <c r="I16" s="7">
        <v>414971</v>
      </c>
      <c r="J16" s="7">
        <v>409631</v>
      </c>
      <c r="K16" s="7">
        <v>449069</v>
      </c>
      <c r="L16" s="7">
        <v>555139</v>
      </c>
      <c r="M16" s="7">
        <v>579383</v>
      </c>
      <c r="N16" s="7">
        <v>571426</v>
      </c>
      <c r="O16" s="7">
        <v>621197</v>
      </c>
      <c r="P16" s="7">
        <v>637850</v>
      </c>
      <c r="Q16" s="7">
        <v>589514</v>
      </c>
      <c r="R16" s="7">
        <v>533797</v>
      </c>
      <c r="S16" s="7">
        <v>366749</v>
      </c>
      <c r="T16" s="7">
        <v>299507</v>
      </c>
      <c r="U16" s="7">
        <v>306561</v>
      </c>
      <c r="V16" s="7">
        <v>488945</v>
      </c>
      <c r="W16" s="7">
        <v>532034</v>
      </c>
      <c r="X16" s="7">
        <v>569837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360496</v>
      </c>
      <c r="H17" s="7">
        <v>433691</v>
      </c>
      <c r="I17" s="7">
        <v>525936</v>
      </c>
      <c r="J17" s="7">
        <v>486464</v>
      </c>
      <c r="K17" s="7">
        <v>446742</v>
      </c>
      <c r="L17" s="7">
        <v>342811</v>
      </c>
      <c r="M17" s="7">
        <v>432539</v>
      </c>
      <c r="N17" s="7">
        <v>350972</v>
      </c>
      <c r="O17" s="7">
        <v>360071</v>
      </c>
      <c r="P17" s="7">
        <v>421382</v>
      </c>
      <c r="Q17" s="7">
        <v>495572</v>
      </c>
      <c r="R17" s="7">
        <v>470828</v>
      </c>
      <c r="S17" s="7">
        <v>571909</v>
      </c>
      <c r="T17" s="7">
        <v>649181</v>
      </c>
      <c r="U17" s="7">
        <v>662571</v>
      </c>
      <c r="V17" s="7">
        <v>532451</v>
      </c>
      <c r="W17" s="7">
        <v>397924</v>
      </c>
      <c r="X17" s="7">
        <v>363529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870348</v>
      </c>
      <c r="H18" s="3">
        <f t="shared" si="4"/>
        <v>963200</v>
      </c>
      <c r="I18" s="3">
        <f t="shared" ref="I18:X18" si="5">+I17+I16</f>
        <v>940907</v>
      </c>
      <c r="J18" s="3">
        <f t="shared" si="5"/>
        <v>896095</v>
      </c>
      <c r="K18" s="3">
        <f t="shared" si="5"/>
        <v>895811</v>
      </c>
      <c r="L18" s="3">
        <f t="shared" si="5"/>
        <v>897950</v>
      </c>
      <c r="M18" s="3">
        <f t="shared" si="5"/>
        <v>1011922</v>
      </c>
      <c r="N18" s="3">
        <f t="shared" si="5"/>
        <v>922398</v>
      </c>
      <c r="O18" s="3">
        <f t="shared" si="5"/>
        <v>981268</v>
      </c>
      <c r="P18" s="3">
        <f t="shared" si="5"/>
        <v>1059232</v>
      </c>
      <c r="Q18" s="3">
        <f t="shared" si="5"/>
        <v>1085086</v>
      </c>
      <c r="R18" s="3">
        <f t="shared" si="5"/>
        <v>1004625</v>
      </c>
      <c r="S18" s="3">
        <f t="shared" si="5"/>
        <v>938658</v>
      </c>
      <c r="T18" s="3">
        <f t="shared" si="5"/>
        <v>948688</v>
      </c>
      <c r="U18" s="3">
        <f t="shared" si="5"/>
        <v>969132</v>
      </c>
      <c r="V18" s="3">
        <f t="shared" si="5"/>
        <v>1021396</v>
      </c>
      <c r="W18" s="3">
        <f t="shared" si="5"/>
        <v>929958</v>
      </c>
      <c r="X18" s="3">
        <f t="shared" si="5"/>
        <v>933366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36230</v>
      </c>
      <c r="H20" s="7">
        <v>36230</v>
      </c>
      <c r="I20" s="7">
        <v>39230</v>
      </c>
      <c r="J20" s="7">
        <v>44336</v>
      </c>
      <c r="K20" s="7">
        <v>44357</v>
      </c>
      <c r="L20" s="7">
        <v>44364</v>
      </c>
      <c r="M20" s="7">
        <v>44395</v>
      </c>
      <c r="N20" s="7">
        <v>44437</v>
      </c>
      <c r="O20" s="7">
        <v>44437</v>
      </c>
      <c r="P20" s="7">
        <v>44493</v>
      </c>
      <c r="Q20" s="7">
        <v>47606</v>
      </c>
      <c r="R20" s="7">
        <v>47606</v>
      </c>
      <c r="S20" s="7">
        <v>47606</v>
      </c>
      <c r="T20" s="7">
        <v>47606</v>
      </c>
      <c r="U20" s="7">
        <v>47606</v>
      </c>
      <c r="V20" s="7">
        <v>47606</v>
      </c>
      <c r="W20" s="7">
        <v>51266</v>
      </c>
      <c r="X20" s="7">
        <v>51266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897816</v>
      </c>
      <c r="H21" s="7">
        <f t="shared" si="6"/>
        <v>910885</v>
      </c>
      <c r="I21" s="7">
        <f t="shared" ref="I21:X21" si="7">+I22-I20</f>
        <v>947503</v>
      </c>
      <c r="J21" s="7">
        <f t="shared" si="7"/>
        <v>1032495</v>
      </c>
      <c r="K21" s="7">
        <f t="shared" si="7"/>
        <v>1082313</v>
      </c>
      <c r="L21" s="7">
        <f t="shared" si="7"/>
        <v>1097498</v>
      </c>
      <c r="M21" s="7">
        <f t="shared" si="7"/>
        <v>1108459</v>
      </c>
      <c r="N21" s="7">
        <f t="shared" si="7"/>
        <v>1108539</v>
      </c>
      <c r="O21" s="7">
        <f t="shared" si="7"/>
        <v>1115070</v>
      </c>
      <c r="P21" s="7">
        <f t="shared" si="7"/>
        <v>1131210</v>
      </c>
      <c r="Q21" s="7">
        <f t="shared" si="7"/>
        <v>1226100</v>
      </c>
      <c r="R21" s="7">
        <f t="shared" si="7"/>
        <v>1223344</v>
      </c>
      <c r="S21" s="7">
        <f t="shared" si="7"/>
        <v>1234967</v>
      </c>
      <c r="T21" s="7">
        <f t="shared" si="7"/>
        <v>1236899</v>
      </c>
      <c r="U21" s="7">
        <f t="shared" si="7"/>
        <v>1245810</v>
      </c>
      <c r="V21" s="7">
        <f t="shared" si="7"/>
        <v>1256058</v>
      </c>
      <c r="W21" s="7">
        <f t="shared" si="7"/>
        <v>1276292</v>
      </c>
      <c r="X21" s="7">
        <f t="shared" si="7"/>
        <v>1278603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+G23</f>
        <v>934046</v>
      </c>
      <c r="H22" s="3">
        <f>+H23</f>
        <v>947115</v>
      </c>
      <c r="I22" s="3">
        <f>+I23-6067</f>
        <v>986733</v>
      </c>
      <c r="J22" s="3">
        <f t="shared" ref="I22:X22" si="8">+J23</f>
        <v>1076831</v>
      </c>
      <c r="K22" s="3">
        <f t="shared" si="8"/>
        <v>1126670</v>
      </c>
      <c r="L22" s="3">
        <f t="shared" si="8"/>
        <v>1141862</v>
      </c>
      <c r="M22" s="3">
        <f t="shared" si="8"/>
        <v>1152854</v>
      </c>
      <c r="N22" s="3">
        <f t="shared" si="8"/>
        <v>1152976</v>
      </c>
      <c r="O22" s="3">
        <f t="shared" si="8"/>
        <v>1159507</v>
      </c>
      <c r="P22" s="3">
        <f t="shared" si="8"/>
        <v>1175703</v>
      </c>
      <c r="Q22" s="3">
        <f t="shared" si="8"/>
        <v>1273706</v>
      </c>
      <c r="R22" s="3">
        <f t="shared" si="8"/>
        <v>1270950</v>
      </c>
      <c r="S22" s="3">
        <f t="shared" si="8"/>
        <v>1282573</v>
      </c>
      <c r="T22" s="3">
        <f t="shared" si="8"/>
        <v>1284505</v>
      </c>
      <c r="U22" s="3">
        <f t="shared" si="8"/>
        <v>1293416</v>
      </c>
      <c r="V22" s="3">
        <f t="shared" si="8"/>
        <v>1303664</v>
      </c>
      <c r="W22" s="3">
        <f t="shared" si="8"/>
        <v>1327558</v>
      </c>
      <c r="X22" s="3">
        <f t="shared" si="8"/>
        <v>1329869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934046</v>
      </c>
      <c r="H23" s="7">
        <v>947115</v>
      </c>
      <c r="I23" s="3">
        <v>992800</v>
      </c>
      <c r="J23" s="3">
        <v>1076831</v>
      </c>
      <c r="K23" s="3">
        <v>1126670</v>
      </c>
      <c r="L23" s="3">
        <v>1141862</v>
      </c>
      <c r="M23" s="3">
        <v>1152854</v>
      </c>
      <c r="N23" s="3">
        <v>1152976</v>
      </c>
      <c r="O23" s="3">
        <v>1159507</v>
      </c>
      <c r="P23" s="3">
        <v>1175703</v>
      </c>
      <c r="Q23" s="3">
        <v>1273706</v>
      </c>
      <c r="R23" s="3">
        <v>1270950</v>
      </c>
      <c r="S23" s="3">
        <v>1282573</v>
      </c>
      <c r="T23" s="3">
        <v>1284505</v>
      </c>
      <c r="U23" s="3">
        <v>1293416</v>
      </c>
      <c r="V23" s="3">
        <v>1303664</v>
      </c>
      <c r="W23" s="3">
        <v>1327558</v>
      </c>
      <c r="X23" s="3">
        <v>1329869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9">+G14-G18-G22</f>
        <v>0</v>
      </c>
      <c r="H25" s="3">
        <f t="shared" si="9"/>
        <v>0</v>
      </c>
      <c r="I25" s="3">
        <f t="shared" ref="I25:X25" si="10">+I14-I18-I22</f>
        <v>0</v>
      </c>
      <c r="J25" s="3">
        <f t="shared" si="10"/>
        <v>0</v>
      </c>
      <c r="K25" s="3">
        <f t="shared" si="10"/>
        <v>0</v>
      </c>
      <c r="L25" s="3">
        <f t="shared" si="10"/>
        <v>0</v>
      </c>
      <c r="M25" s="3">
        <f t="shared" si="10"/>
        <v>0</v>
      </c>
      <c r="N25" s="3">
        <f t="shared" si="10"/>
        <v>0</v>
      </c>
      <c r="O25" s="3">
        <f t="shared" si="10"/>
        <v>0</v>
      </c>
      <c r="P25" s="3">
        <f t="shared" si="10"/>
        <v>0</v>
      </c>
      <c r="Q25" s="3">
        <f t="shared" si="10"/>
        <v>0</v>
      </c>
      <c r="R25" s="3">
        <f t="shared" si="10"/>
        <v>0</v>
      </c>
      <c r="S25" s="3">
        <f t="shared" si="10"/>
        <v>0</v>
      </c>
      <c r="T25" s="3">
        <f t="shared" si="10"/>
        <v>0</v>
      </c>
      <c r="U25" s="3">
        <f t="shared" si="10"/>
        <v>0</v>
      </c>
      <c r="V25" s="3">
        <f t="shared" si="10"/>
        <v>0</v>
      </c>
      <c r="W25" s="3">
        <f t="shared" si="10"/>
        <v>0</v>
      </c>
      <c r="X25" s="3">
        <f t="shared" si="10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1">+G18+G22+G25</f>
        <v>1804394</v>
      </c>
      <c r="H27" s="10">
        <f t="shared" si="11"/>
        <v>1910315</v>
      </c>
      <c r="I27" s="10">
        <f t="shared" ref="I27:X27" si="12">+I18+I22+I25</f>
        <v>1927640</v>
      </c>
      <c r="J27" s="10">
        <f t="shared" si="12"/>
        <v>1972926</v>
      </c>
      <c r="K27" s="10">
        <f t="shared" si="12"/>
        <v>2022481</v>
      </c>
      <c r="L27" s="10">
        <f t="shared" si="12"/>
        <v>2039812</v>
      </c>
      <c r="M27" s="10">
        <f t="shared" si="12"/>
        <v>2164776</v>
      </c>
      <c r="N27" s="10">
        <f t="shared" si="12"/>
        <v>2075374</v>
      </c>
      <c r="O27" s="10">
        <f t="shared" si="12"/>
        <v>2140775</v>
      </c>
      <c r="P27" s="10">
        <f t="shared" si="12"/>
        <v>2234935</v>
      </c>
      <c r="Q27" s="10">
        <f t="shared" si="12"/>
        <v>2358792</v>
      </c>
      <c r="R27" s="10">
        <f t="shared" si="12"/>
        <v>2275575</v>
      </c>
      <c r="S27" s="10">
        <f t="shared" si="12"/>
        <v>2221231</v>
      </c>
      <c r="T27" s="10">
        <f t="shared" si="12"/>
        <v>2233193</v>
      </c>
      <c r="U27" s="10">
        <f t="shared" si="12"/>
        <v>2262548</v>
      </c>
      <c r="V27" s="10">
        <f t="shared" si="12"/>
        <v>2325060</v>
      </c>
      <c r="W27" s="10">
        <f t="shared" si="12"/>
        <v>2257516</v>
      </c>
      <c r="X27" s="10">
        <f t="shared" si="12"/>
        <v>2263235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13069</v>
      </c>
      <c r="I29" s="7">
        <f>+I22-H22</f>
        <v>39618</v>
      </c>
      <c r="J29" s="7">
        <f>+J22-I22</f>
        <v>90098</v>
      </c>
      <c r="K29" s="7">
        <f t="shared" ref="K29:X29" si="13">+K22-J22</f>
        <v>49839</v>
      </c>
      <c r="L29" s="7">
        <f t="shared" si="13"/>
        <v>15192</v>
      </c>
      <c r="M29" s="7">
        <f t="shared" si="13"/>
        <v>10992</v>
      </c>
      <c r="N29" s="7">
        <f t="shared" si="13"/>
        <v>122</v>
      </c>
      <c r="O29" s="7">
        <f t="shared" si="13"/>
        <v>6531</v>
      </c>
      <c r="P29" s="7">
        <f t="shared" si="13"/>
        <v>16196</v>
      </c>
      <c r="Q29" s="7">
        <f t="shared" si="13"/>
        <v>98003</v>
      </c>
      <c r="R29" s="7">
        <f t="shared" si="13"/>
        <v>-2756</v>
      </c>
      <c r="S29" s="7">
        <f t="shared" si="13"/>
        <v>11623</v>
      </c>
      <c r="T29" s="7">
        <f t="shared" si="13"/>
        <v>1932</v>
      </c>
      <c r="U29" s="7">
        <f t="shared" si="13"/>
        <v>8911</v>
      </c>
      <c r="V29" s="7">
        <f t="shared" si="13"/>
        <v>10248</v>
      </c>
      <c r="W29" s="7">
        <f t="shared" si="13"/>
        <v>23894</v>
      </c>
      <c r="X29" s="7">
        <f t="shared" si="13"/>
        <v>2311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11924</v>
      </c>
      <c r="I30" s="7">
        <f t="shared" ref="I30:X30" si="14">+I43</f>
        <v>3185</v>
      </c>
      <c r="J30" s="7">
        <f t="shared" si="14"/>
        <v>17123</v>
      </c>
      <c r="K30" s="7">
        <f t="shared" si="14"/>
        <v>31402</v>
      </c>
      <c r="L30" s="7">
        <f t="shared" si="14"/>
        <v>15269</v>
      </c>
      <c r="M30" s="7">
        <f t="shared" si="14"/>
        <v>10373</v>
      </c>
      <c r="N30" s="7">
        <f t="shared" si="14"/>
        <v>19509</v>
      </c>
      <c r="O30" s="7">
        <f t="shared" si="14"/>
        <v>6411</v>
      </c>
      <c r="P30" s="7">
        <f t="shared" si="14"/>
        <v>15729</v>
      </c>
      <c r="Q30" s="7">
        <f t="shared" si="14"/>
        <v>39965</v>
      </c>
      <c r="R30" s="7">
        <f t="shared" si="14"/>
        <v>4373</v>
      </c>
      <c r="S30" s="7">
        <f t="shared" si="14"/>
        <v>10892</v>
      </c>
      <c r="T30" s="7">
        <f t="shared" si="14"/>
        <v>1877</v>
      </c>
      <c r="U30" s="7">
        <f t="shared" si="14"/>
        <v>9966</v>
      </c>
      <c r="V30" s="7">
        <f t="shared" si="14"/>
        <v>10197</v>
      </c>
      <c r="W30" s="7">
        <f t="shared" si="14"/>
        <v>3700</v>
      </c>
      <c r="X30" s="7">
        <f t="shared" si="14"/>
        <v>1455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0</v>
      </c>
      <c r="J31" s="54">
        <v>0</v>
      </c>
      <c r="K31" s="54">
        <v>0</v>
      </c>
      <c r="L31" s="54">
        <v>0</v>
      </c>
      <c r="M31" s="54">
        <f>-N50*N48*1000</f>
        <v>-19109.199999999997</v>
      </c>
      <c r="N31" s="54">
        <v>0</v>
      </c>
      <c r="O31" s="54">
        <v>0</v>
      </c>
      <c r="P31" s="54">
        <v>0</v>
      </c>
      <c r="Q31" s="54">
        <f>-R50*R48*1000</f>
        <v>-7616.0000000000009</v>
      </c>
      <c r="R31" s="54">
        <v>0</v>
      </c>
      <c r="S31" s="54">
        <v>0</v>
      </c>
      <c r="T31" s="54">
        <v>0</v>
      </c>
      <c r="U31" s="54">
        <f>-V50*V48*1000</f>
        <v>0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f t="shared" ref="H32:Q32" si="15">(+H48-G48)*1000*H49</f>
        <v>0</v>
      </c>
      <c r="I32" s="54">
        <f t="shared" si="15"/>
        <v>3037.6770249617921</v>
      </c>
      <c r="J32" s="54">
        <f t="shared" si="15"/>
        <v>5079.5417230491703</v>
      </c>
      <c r="K32" s="54">
        <f t="shared" si="15"/>
        <v>19.998647430113245</v>
      </c>
      <c r="L32" s="54">
        <f t="shared" si="15"/>
        <v>0</v>
      </c>
      <c r="M32" s="54">
        <f t="shared" si="15"/>
        <v>39.995495495494644</v>
      </c>
      <c r="N32" s="54">
        <f t="shared" si="15"/>
        <v>39.997299729972148</v>
      </c>
      <c r="O32" s="54">
        <f t="shared" si="15"/>
        <v>0</v>
      </c>
      <c r="P32" s="54">
        <f t="shared" si="15"/>
        <v>0</v>
      </c>
      <c r="Q32" s="54">
        <f t="shared" si="15"/>
        <v>42.811151079135776</v>
      </c>
      <c r="R32" s="54">
        <f>(+R48-Q48)*1000*R49</f>
        <v>3120.3932773109291</v>
      </c>
      <c r="S32" s="54">
        <f t="shared" ref="S32:X32" si="16">(+S48-R48)*1000*S49</f>
        <v>0</v>
      </c>
      <c r="T32" s="54">
        <f t="shared" si="16"/>
        <v>0</v>
      </c>
      <c r="U32" s="54">
        <f t="shared" si="16"/>
        <v>0</v>
      </c>
      <c r="V32" s="54">
        <f t="shared" si="16"/>
        <v>0</v>
      </c>
      <c r="W32" s="54">
        <f t="shared" si="16"/>
        <v>3660.4284042138083</v>
      </c>
      <c r="X32" s="54">
        <f t="shared" si="16"/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1145</v>
      </c>
      <c r="I33" s="54">
        <f t="shared" ref="I33:X33" si="17">+I29-I30-I31-I32</f>
        <v>33395.322975038209</v>
      </c>
      <c r="J33" s="54">
        <f t="shared" si="17"/>
        <v>67895.458276950827</v>
      </c>
      <c r="K33" s="54">
        <f t="shared" si="17"/>
        <v>18417.001352569885</v>
      </c>
      <c r="L33" s="54">
        <f t="shared" si="17"/>
        <v>-77</v>
      </c>
      <c r="M33" s="54">
        <f t="shared" si="17"/>
        <v>19688.204504504502</v>
      </c>
      <c r="N33" s="54">
        <f t="shared" si="17"/>
        <v>-19426.997299729974</v>
      </c>
      <c r="O33" s="54">
        <f t="shared" si="17"/>
        <v>120</v>
      </c>
      <c r="P33" s="54">
        <f t="shared" si="17"/>
        <v>467</v>
      </c>
      <c r="Q33" s="54">
        <f t="shared" si="17"/>
        <v>65611.188848920865</v>
      </c>
      <c r="R33" s="54">
        <f t="shared" si="17"/>
        <v>-10249.39327731093</v>
      </c>
      <c r="S33" s="54">
        <f t="shared" si="17"/>
        <v>731</v>
      </c>
      <c r="T33" s="54">
        <f t="shared" si="17"/>
        <v>55</v>
      </c>
      <c r="U33" s="54">
        <f t="shared" si="17"/>
        <v>-1055</v>
      </c>
      <c r="V33" s="54">
        <f t="shared" si="17"/>
        <v>51</v>
      </c>
      <c r="W33" s="54">
        <f t="shared" si="17"/>
        <v>16533.57159578619</v>
      </c>
      <c r="X33" s="54">
        <f t="shared" si="17"/>
        <v>856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39523.646403746367</v>
      </c>
      <c r="E37" s="38">
        <f>+K129*Z37</f>
        <v>59415.368469355672</v>
      </c>
      <c r="F37" s="38">
        <f>+K130*Z37</f>
        <v>73533.44622657921</v>
      </c>
      <c r="G37" s="38">
        <f>+K131*Z37</f>
        <v>70178.53890031873</v>
      </c>
      <c r="H37" s="3">
        <v>22505</v>
      </c>
      <c r="I37" s="3">
        <f>103551-H37</f>
        <v>81046</v>
      </c>
      <c r="J37" s="3">
        <f>170228-I37-H37</f>
        <v>66677</v>
      </c>
      <c r="K37" s="3">
        <f>221282-J37-I37-H37</f>
        <v>51054</v>
      </c>
      <c r="L37" s="3">
        <v>42542</v>
      </c>
      <c r="M37" s="3">
        <f>96348-L37</f>
        <v>53806</v>
      </c>
      <c r="N37" s="3">
        <f>137616-M37-L37</f>
        <v>41268</v>
      </c>
      <c r="O37" s="3">
        <f>180264-N37-M37-L37</f>
        <v>42648</v>
      </c>
      <c r="P37" s="3">
        <v>21456</v>
      </c>
      <c r="Q37" s="3">
        <f>75154-P37</f>
        <v>53698</v>
      </c>
      <c r="R37" s="3">
        <f>156309-Q37-P37</f>
        <v>81155</v>
      </c>
      <c r="S37" s="3">
        <f>289109-R37-Q37-P37</f>
        <v>132800</v>
      </c>
      <c r="T37" s="3">
        <v>83581</v>
      </c>
      <c r="U37" s="3">
        <f>150716-T37</f>
        <v>67135</v>
      </c>
      <c r="V37" s="3">
        <f>278056-U37-T37</f>
        <v>127340</v>
      </c>
      <c r="W37" s="3">
        <f>289128-V37-U37-T37</f>
        <v>11072</v>
      </c>
      <c r="X37" s="3">
        <v>41102</v>
      </c>
      <c r="Z37" s="3">
        <v>242651</v>
      </c>
      <c r="AA37" s="3">
        <f t="shared" ref="AA37:AA44" si="18">SUM(D37:G37)</f>
        <v>242651</v>
      </c>
    </row>
    <row r="38" spans="2:27" ht="30" x14ac:dyDescent="0.25">
      <c r="B38" s="13" t="s">
        <v>18</v>
      </c>
      <c r="C38" s="13" t="s">
        <v>124</v>
      </c>
      <c r="D38" s="38">
        <f>+Z38*K138</f>
        <v>29118.571511511876</v>
      </c>
      <c r="E38" s="38">
        <f>+Z38*K139</f>
        <v>36301.863644610559</v>
      </c>
      <c r="F38" s="38">
        <f>+Z38*K140</f>
        <v>66113.242892392547</v>
      </c>
      <c r="G38" s="38">
        <f>+Z38*K141</f>
        <v>58129.321951485021</v>
      </c>
      <c r="H38" s="3">
        <f>+H37-H39</f>
        <v>5857</v>
      </c>
      <c r="I38" s="3">
        <f t="shared" ref="I38:X38" si="19">+I37-I39</f>
        <v>72613</v>
      </c>
      <c r="J38" s="3">
        <f t="shared" si="19"/>
        <v>42063</v>
      </c>
      <c r="K38" s="3">
        <f t="shared" si="19"/>
        <v>-4158</v>
      </c>
      <c r="L38" s="3">
        <f t="shared" si="19"/>
        <v>24734</v>
      </c>
      <c r="M38" s="3">
        <f t="shared" ref="M38" si="20">+M37-M39</f>
        <v>42019</v>
      </c>
      <c r="N38" s="3">
        <f t="shared" ref="N38" si="21">+N37-N39</f>
        <v>44953</v>
      </c>
      <c r="O38" s="3">
        <f t="shared" ref="O38" si="22">+O37-O39</f>
        <v>20428</v>
      </c>
      <c r="P38" s="3">
        <f t="shared" si="19"/>
        <v>3322</v>
      </c>
      <c r="Q38" s="3">
        <f t="shared" ref="Q38" si="23">+Q37-Q39</f>
        <v>-3190</v>
      </c>
      <c r="R38" s="3">
        <f t="shared" ref="R38" si="24">+R37-R39</f>
        <v>77899</v>
      </c>
      <c r="S38" s="3">
        <f t="shared" ref="S38" si="25">+S37-S39</f>
        <v>135764</v>
      </c>
      <c r="T38" s="3">
        <f t="shared" si="19"/>
        <v>67631</v>
      </c>
      <c r="U38" s="3">
        <f t="shared" ref="U38" si="26">+U37-U39</f>
        <v>15152</v>
      </c>
      <c r="V38" s="3">
        <f t="shared" ref="V38" si="27">+V37-V39</f>
        <v>65639</v>
      </c>
      <c r="W38" s="3">
        <f t="shared" ref="W38" si="28">+W37-W39</f>
        <v>-15688</v>
      </c>
      <c r="X38" s="3">
        <f t="shared" si="19"/>
        <v>30504</v>
      </c>
      <c r="Z38" s="3">
        <f>+Z37-Z39</f>
        <v>189663</v>
      </c>
      <c r="AA38" s="3">
        <f t="shared" si="18"/>
        <v>189663</v>
      </c>
    </row>
    <row r="39" spans="2:27" x14ac:dyDescent="0.25">
      <c r="B39" s="13" t="s">
        <v>20</v>
      </c>
      <c r="C39" s="13" t="s">
        <v>124</v>
      </c>
      <c r="D39" s="38">
        <f t="shared" ref="D39:F39" si="29">+D37-D38</f>
        <v>10405.07489223449</v>
      </c>
      <c r="E39" s="38">
        <f t="shared" si="29"/>
        <v>23113.504824745112</v>
      </c>
      <c r="F39" s="38">
        <f t="shared" si="29"/>
        <v>7420.2033341866627</v>
      </c>
      <c r="G39" s="38">
        <f>+G37-G38</f>
        <v>12049.216948833709</v>
      </c>
      <c r="H39" s="3">
        <v>16648</v>
      </c>
      <c r="I39" s="3">
        <f>25081-H39</f>
        <v>8433</v>
      </c>
      <c r="J39" s="3">
        <f>49695-I39-H39</f>
        <v>24614</v>
      </c>
      <c r="K39" s="3">
        <f>104907-J39-I39-H39</f>
        <v>55212</v>
      </c>
      <c r="L39" s="3">
        <v>17808</v>
      </c>
      <c r="M39" s="3">
        <f>29595-L39</f>
        <v>11787</v>
      </c>
      <c r="N39" s="3">
        <f>25910-M39-L39</f>
        <v>-3685</v>
      </c>
      <c r="O39" s="3">
        <f>48130-N39-M39-L39</f>
        <v>22220</v>
      </c>
      <c r="P39" s="3">
        <v>18134</v>
      </c>
      <c r="Q39" s="3">
        <f>75022-P39</f>
        <v>56888</v>
      </c>
      <c r="R39" s="3">
        <f>78278-Q39-P39</f>
        <v>3256</v>
      </c>
      <c r="S39" s="3">
        <f>75314-R39-Q39-P39</f>
        <v>-2964</v>
      </c>
      <c r="T39" s="3">
        <v>15950</v>
      </c>
      <c r="U39" s="3">
        <f>67933-T39</f>
        <v>51983</v>
      </c>
      <c r="V39" s="3">
        <f>129634-U39-T39</f>
        <v>61701</v>
      </c>
      <c r="W39" s="3">
        <f>156394-V39-U39-T39</f>
        <v>26760</v>
      </c>
      <c r="X39" s="3">
        <v>10598</v>
      </c>
      <c r="Z39" s="3">
        <v>52988</v>
      </c>
      <c r="AA39" s="3">
        <f t="shared" si="18"/>
        <v>52987.999999999971</v>
      </c>
    </row>
    <row r="40" spans="2:27" ht="30" x14ac:dyDescent="0.25">
      <c r="B40" s="13" t="s">
        <v>17</v>
      </c>
      <c r="C40" s="13" t="s">
        <v>124</v>
      </c>
      <c r="D40" s="38">
        <f>+K148*Z40</f>
        <v>582.56272581196481</v>
      </c>
      <c r="E40" s="38">
        <f>+K149*Z40</f>
        <v>2728.8500720362131</v>
      </c>
      <c r="F40" s="38">
        <f>+K150*Z40</f>
        <v>1176.5415078728713</v>
      </c>
      <c r="G40" s="38">
        <f>+K151*Z40</f>
        <v>2688.045694278951</v>
      </c>
      <c r="H40" s="3">
        <f>+H41-H39</f>
        <v>-1018</v>
      </c>
      <c r="I40" s="3">
        <f t="shared" ref="I40:X40" si="30">+I41-I39</f>
        <v>-3500</v>
      </c>
      <c r="J40" s="3">
        <f t="shared" si="30"/>
        <v>-2910</v>
      </c>
      <c r="K40" s="3">
        <f t="shared" si="30"/>
        <v>-11514</v>
      </c>
      <c r="L40" s="3">
        <f t="shared" si="30"/>
        <v>1895</v>
      </c>
      <c r="M40" s="3">
        <f t="shared" ref="M40" si="31">+M41-M39</f>
        <v>4799</v>
      </c>
      <c r="N40" s="3">
        <f t="shared" ref="N40" si="32">+N41-N39</f>
        <v>27801</v>
      </c>
      <c r="O40" s="3">
        <f t="shared" ref="O40" si="33">+O41-O39</f>
        <v>-9548</v>
      </c>
      <c r="P40" s="3">
        <f t="shared" si="30"/>
        <v>2580</v>
      </c>
      <c r="Q40" s="3">
        <f t="shared" ref="Q40" si="34">+Q41-Q39</f>
        <v>-5952</v>
      </c>
      <c r="R40" s="3">
        <f t="shared" ref="R40" si="35">+R41-R39</f>
        <v>1661</v>
      </c>
      <c r="S40" s="3">
        <f t="shared" ref="S40" si="36">+S41-S39</f>
        <v>-8253</v>
      </c>
      <c r="T40" s="3">
        <f t="shared" si="30"/>
        <v>-11928</v>
      </c>
      <c r="U40" s="3">
        <f t="shared" ref="U40" si="37">+U41-U39</f>
        <v>-35027</v>
      </c>
      <c r="V40" s="3">
        <f t="shared" ref="V40" si="38">+V41-V39</f>
        <v>-43660</v>
      </c>
      <c r="W40" s="3">
        <f t="shared" ref="W40" si="39">+W41-W39</f>
        <v>-32702</v>
      </c>
      <c r="X40" s="3">
        <f t="shared" si="30"/>
        <v>-7078</v>
      </c>
      <c r="Z40" s="3">
        <f>+Z41-Z39</f>
        <v>7176</v>
      </c>
      <c r="AA40" s="3">
        <f t="shared" si="18"/>
        <v>7176</v>
      </c>
    </row>
    <row r="41" spans="2:27" x14ac:dyDescent="0.25">
      <c r="B41" s="1" t="s">
        <v>0</v>
      </c>
      <c r="C41" s="1" t="s">
        <v>124</v>
      </c>
      <c r="D41" s="38">
        <f>+D39+D40</f>
        <v>10987.637618046454</v>
      </c>
      <c r="E41" s="38">
        <f t="shared" ref="E41:G41" si="40">+E39+E40</f>
        <v>25842.354896781326</v>
      </c>
      <c r="F41" s="38">
        <f t="shared" si="40"/>
        <v>8596.7448420595338</v>
      </c>
      <c r="G41" s="38">
        <f t="shared" si="40"/>
        <v>14737.262643112661</v>
      </c>
      <c r="H41" s="3">
        <v>15630</v>
      </c>
      <c r="I41" s="3">
        <f>20563-H41</f>
        <v>4933</v>
      </c>
      <c r="J41" s="3">
        <f>42267-I41-H41</f>
        <v>21704</v>
      </c>
      <c r="K41" s="3">
        <f>85965-J41-I41-H41</f>
        <v>43698</v>
      </c>
      <c r="L41" s="3">
        <v>19703</v>
      </c>
      <c r="M41" s="3">
        <f>36289-L41</f>
        <v>16586</v>
      </c>
      <c r="N41" s="3">
        <f>60405-M41-L41</f>
        <v>24116</v>
      </c>
      <c r="O41" s="3">
        <f>73077-N41-M41-L41</f>
        <v>12672</v>
      </c>
      <c r="P41" s="3">
        <v>20714</v>
      </c>
      <c r="Q41" s="3">
        <f>71650-P41</f>
        <v>50936</v>
      </c>
      <c r="R41" s="3">
        <f>76567-Q41-P41</f>
        <v>4917</v>
      </c>
      <c r="S41" s="3">
        <f>65350-R41-Q41-P41</f>
        <v>-11217</v>
      </c>
      <c r="T41" s="3">
        <v>4022</v>
      </c>
      <c r="U41" s="3">
        <f>20978-T41</f>
        <v>16956</v>
      </c>
      <c r="V41" s="3">
        <f>39019-U41-T41</f>
        <v>18041</v>
      </c>
      <c r="W41" s="3">
        <f>33077-V41-U41-T41</f>
        <v>-5942</v>
      </c>
      <c r="X41" s="3">
        <v>3520</v>
      </c>
      <c r="Z41" s="3">
        <v>60164</v>
      </c>
      <c r="AA41" s="3">
        <f t="shared" si="18"/>
        <v>60163.999999999978</v>
      </c>
    </row>
    <row r="42" spans="2:27" x14ac:dyDescent="0.25">
      <c r="B42" s="16" t="s">
        <v>19</v>
      </c>
      <c r="C42" s="13" t="s">
        <v>124</v>
      </c>
      <c r="D42" s="38">
        <f>+Z42*K158</f>
        <v>4190.8282129108675</v>
      </c>
      <c r="E42" s="38">
        <f>+Z42*K159</f>
        <v>7114.2533683742968</v>
      </c>
      <c r="F42" s="38">
        <f>+Z42*K160</f>
        <v>4823.7063962096536</v>
      </c>
      <c r="G42" s="39">
        <f>+Z42*K161</f>
        <v>-1299.7879774948178</v>
      </c>
      <c r="H42" s="14">
        <f>+H41-H43</f>
        <v>3706</v>
      </c>
      <c r="I42" s="14">
        <f t="shared" ref="I42:X42" si="41">+I41-I43</f>
        <v>1748</v>
      </c>
      <c r="J42" s="14">
        <f t="shared" si="41"/>
        <v>4581</v>
      </c>
      <c r="K42" s="14">
        <f t="shared" si="41"/>
        <v>12296</v>
      </c>
      <c r="L42" s="14">
        <f t="shared" si="41"/>
        <v>4434</v>
      </c>
      <c r="M42" s="14">
        <f t="shared" ref="M42" si="42">+M41-M43</f>
        <v>6213</v>
      </c>
      <c r="N42" s="14">
        <f t="shared" ref="N42" si="43">+N41-N43</f>
        <v>4607</v>
      </c>
      <c r="O42" s="14">
        <f t="shared" ref="O42" si="44">+O41-O43</f>
        <v>6261</v>
      </c>
      <c r="P42" s="14">
        <f t="shared" si="41"/>
        <v>4985</v>
      </c>
      <c r="Q42" s="14">
        <f t="shared" ref="Q42" si="45">+Q41-Q43</f>
        <v>10971</v>
      </c>
      <c r="R42" s="14">
        <f t="shared" ref="R42" si="46">+R41-R43</f>
        <v>544</v>
      </c>
      <c r="S42" s="14">
        <f t="shared" ref="S42" si="47">+S41-S43</f>
        <v>-22109</v>
      </c>
      <c r="T42" s="14">
        <f t="shared" si="41"/>
        <v>2145</v>
      </c>
      <c r="U42" s="14">
        <f t="shared" ref="U42" si="48">+U41-U43</f>
        <v>6990</v>
      </c>
      <c r="V42" s="14">
        <f t="shared" ref="V42" si="49">+V41-V43</f>
        <v>7844</v>
      </c>
      <c r="W42" s="14">
        <f t="shared" ref="W42" si="50">+W41-W43</f>
        <v>-9642</v>
      </c>
      <c r="X42" s="14">
        <f t="shared" si="41"/>
        <v>2065</v>
      </c>
      <c r="Z42" s="3">
        <f>+Z41-Z43</f>
        <v>14829</v>
      </c>
      <c r="AA42" s="3">
        <f t="shared" si="18"/>
        <v>14829.000000000002</v>
      </c>
    </row>
    <row r="43" spans="2:27" x14ac:dyDescent="0.25">
      <c r="B43" s="1" t="s">
        <v>1</v>
      </c>
      <c r="C43" s="1" t="s">
        <v>124</v>
      </c>
      <c r="D43" s="38">
        <f t="shared" ref="D43:F43" si="51">+D41-D42</f>
        <v>6796.8094051355865</v>
      </c>
      <c r="E43" s="38">
        <f t="shared" si="51"/>
        <v>18728.101528407031</v>
      </c>
      <c r="F43" s="38">
        <f t="shared" si="51"/>
        <v>3773.0384458498802</v>
      </c>
      <c r="G43" s="38">
        <f>+G41-G42</f>
        <v>16037.050620607479</v>
      </c>
      <c r="H43" s="3">
        <v>11924</v>
      </c>
      <c r="I43" s="3">
        <f>15109-H43</f>
        <v>3185</v>
      </c>
      <c r="J43" s="3">
        <f>32232-I43-H43</f>
        <v>17123</v>
      </c>
      <c r="K43" s="3">
        <f>63634-J43-I43-H43</f>
        <v>31402</v>
      </c>
      <c r="L43" s="3">
        <v>15269</v>
      </c>
      <c r="M43" s="3">
        <f>25642-L43</f>
        <v>10373</v>
      </c>
      <c r="N43" s="3">
        <f>45151-M43-L43</f>
        <v>19509</v>
      </c>
      <c r="O43" s="3">
        <f>51562-N43-M43-L43</f>
        <v>6411</v>
      </c>
      <c r="P43" s="3">
        <v>15729</v>
      </c>
      <c r="Q43" s="3">
        <f>55694-P43</f>
        <v>39965</v>
      </c>
      <c r="R43" s="3">
        <f>60067-Q43-P43</f>
        <v>4373</v>
      </c>
      <c r="S43" s="3">
        <f>70959-R43-Q43-P43</f>
        <v>10892</v>
      </c>
      <c r="T43" s="3">
        <v>1877</v>
      </c>
      <c r="U43" s="3">
        <f>11843-T43</f>
        <v>9966</v>
      </c>
      <c r="V43" s="3">
        <f>22040-U43-T43</f>
        <v>10197</v>
      </c>
      <c r="W43" s="3">
        <f>25740-V43-U43-T43</f>
        <v>3700</v>
      </c>
      <c r="X43" s="3">
        <v>1455</v>
      </c>
      <c r="Z43" s="3">
        <v>45335</v>
      </c>
      <c r="AA43" s="3">
        <f t="shared" si="18"/>
        <v>45334.999999999978</v>
      </c>
    </row>
    <row r="44" spans="2:27" ht="30" x14ac:dyDescent="0.25">
      <c r="B44" s="49" t="s">
        <v>162</v>
      </c>
      <c r="C44" s="1" t="s">
        <v>124</v>
      </c>
      <c r="D44" s="22">
        <f>+Z44*K168</f>
        <v>9054.8053842381378</v>
      </c>
      <c r="E44" s="22">
        <f>+K169*Z44</f>
        <v>12832.441327705867</v>
      </c>
      <c r="F44" s="22">
        <f>+K170*Z44</f>
        <v>10348.984247053755</v>
      </c>
      <c r="G44" s="22">
        <f>+K171*Z44</f>
        <v>13098.769041002244</v>
      </c>
      <c r="H44" s="3">
        <v>11924</v>
      </c>
      <c r="I44" s="3">
        <f>15109-H44</f>
        <v>3185</v>
      </c>
      <c r="J44" s="3">
        <f>32232-I44-H44</f>
        <v>17123</v>
      </c>
      <c r="K44" s="3">
        <f>63634-J44-I44-H44</f>
        <v>31402</v>
      </c>
      <c r="L44" s="3">
        <v>15269</v>
      </c>
      <c r="M44" s="3">
        <f>25642-L44</f>
        <v>10373</v>
      </c>
      <c r="N44" s="3">
        <f>45151-M44-L44</f>
        <v>19509</v>
      </c>
      <c r="O44" s="3">
        <f>51562-N44-M44-L44</f>
        <v>6411</v>
      </c>
      <c r="P44" s="3">
        <v>15729</v>
      </c>
      <c r="Q44" s="3">
        <f>55694-P44</f>
        <v>39965</v>
      </c>
      <c r="R44" s="3">
        <f>60067-Q44-P44</f>
        <v>4373</v>
      </c>
      <c r="S44" s="3">
        <f>70859-R44-Q44-P44</f>
        <v>10792</v>
      </c>
      <c r="T44" s="3">
        <v>1877</v>
      </c>
      <c r="U44" s="3">
        <f>11843-T44</f>
        <v>9966</v>
      </c>
      <c r="V44" s="3">
        <f>22040-U44-T44</f>
        <v>10197</v>
      </c>
      <c r="W44" s="3">
        <f>25740-V44-U44-T44</f>
        <v>3700</v>
      </c>
      <c r="X44" s="3">
        <v>1455</v>
      </c>
      <c r="Z44" s="3">
        <v>45335</v>
      </c>
      <c r="AA44" s="3">
        <f t="shared" si="18"/>
        <v>45335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18.11</v>
      </c>
      <c r="H48" s="4">
        <v>18.11</v>
      </c>
      <c r="I48" s="4">
        <v>19.63</v>
      </c>
      <c r="J48" s="4">
        <v>22.17</v>
      </c>
      <c r="K48" s="4">
        <v>22.18</v>
      </c>
      <c r="L48" s="4">
        <v>22.18</v>
      </c>
      <c r="M48" s="4">
        <v>22.2</v>
      </c>
      <c r="N48" s="4">
        <v>22.22</v>
      </c>
      <c r="O48" s="4">
        <v>22.22</v>
      </c>
      <c r="P48" s="4">
        <v>22.22</v>
      </c>
      <c r="Q48" s="4">
        <v>22.24</v>
      </c>
      <c r="R48" s="4">
        <v>23.8</v>
      </c>
      <c r="S48" s="4">
        <v>23.8</v>
      </c>
      <c r="T48" s="4">
        <v>23.8</v>
      </c>
      <c r="U48" s="4">
        <v>23.8</v>
      </c>
      <c r="V48" s="4">
        <v>23.8</v>
      </c>
      <c r="W48" s="4">
        <v>25.63</v>
      </c>
      <c r="X48" s="4">
        <v>25.63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52">+(G20*1000)/(G48*1000000)</f>
        <v>2.0005521811154057</v>
      </c>
      <c r="H49" s="19">
        <f t="shared" si="52"/>
        <v>2.0005521811154057</v>
      </c>
      <c r="I49" s="19">
        <f t="shared" si="52"/>
        <v>1.9984717269485481</v>
      </c>
      <c r="J49" s="19">
        <f t="shared" si="52"/>
        <v>1.9998195760036084</v>
      </c>
      <c r="K49" s="19">
        <f t="shared" si="52"/>
        <v>1.9998647430117222</v>
      </c>
      <c r="L49" s="19">
        <f t="shared" si="52"/>
        <v>2.0001803426510372</v>
      </c>
      <c r="M49" s="19">
        <f t="shared" si="52"/>
        <v>1.9997747747747747</v>
      </c>
      <c r="N49" s="19">
        <f t="shared" si="52"/>
        <v>1.99986498649865</v>
      </c>
      <c r="O49" s="19">
        <f t="shared" si="52"/>
        <v>1.99986498649865</v>
      </c>
      <c r="P49" s="19">
        <f t="shared" si="52"/>
        <v>2.0023852385238525</v>
      </c>
      <c r="Q49" s="19">
        <f t="shared" si="52"/>
        <v>2.1405575539568344</v>
      </c>
      <c r="R49" s="19">
        <f t="shared" si="52"/>
        <v>2.0002521008403362</v>
      </c>
      <c r="S49" s="19">
        <f t="shared" si="52"/>
        <v>2.0002521008403362</v>
      </c>
      <c r="T49" s="19">
        <f t="shared" si="52"/>
        <v>2.0002521008403362</v>
      </c>
      <c r="U49" s="19">
        <f t="shared" si="52"/>
        <v>2.0002521008403362</v>
      </c>
      <c r="V49" s="19">
        <f t="shared" si="52"/>
        <v>2.0002521008403362</v>
      </c>
      <c r="W49" s="19">
        <f t="shared" si="52"/>
        <v>2.0002341006632851</v>
      </c>
      <c r="X49" s="19">
        <f t="shared" si="52"/>
        <v>2.0002341006632851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0</v>
      </c>
      <c r="H50" s="43">
        <v>0</v>
      </c>
      <c r="I50" s="43">
        <v>0</v>
      </c>
      <c r="J50" s="25">
        <v>0</v>
      </c>
      <c r="K50" s="43">
        <v>0</v>
      </c>
      <c r="L50" s="43">
        <v>0</v>
      </c>
      <c r="M50" s="43">
        <v>0</v>
      </c>
      <c r="N50" s="25">
        <v>0.86</v>
      </c>
      <c r="O50" s="43">
        <v>0.86</v>
      </c>
      <c r="P50" s="43">
        <v>0.86</v>
      </c>
      <c r="Q50" s="43">
        <v>0.86</v>
      </c>
      <c r="R50" s="25">
        <v>0.32</v>
      </c>
      <c r="S50" s="43">
        <v>0.32</v>
      </c>
      <c r="T50" s="43">
        <v>0.32</v>
      </c>
      <c r="U50" s="43">
        <v>0.32</v>
      </c>
      <c r="V50" s="25">
        <v>0</v>
      </c>
      <c r="W50" s="43">
        <v>0</v>
      </c>
      <c r="X50" s="43">
        <v>0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>
        <f>+[1]Sheet0!$E$129</f>
        <v>29.29</v>
      </c>
      <c r="H54" s="24">
        <f>+[1]Sheet0!$E$191</f>
        <v>26.9</v>
      </c>
      <c r="I54" s="24">
        <f>+[1]Sheet0!$E$252</f>
        <v>31.5</v>
      </c>
      <c r="J54" s="24">
        <f>+[1]Sheet0!$E$318</f>
        <v>36.83</v>
      </c>
      <c r="K54" s="24">
        <f>+[1]Sheet0!$E$381</f>
        <v>34.75</v>
      </c>
      <c r="L54" s="24">
        <f>+[1]Sheet0!$E$443</f>
        <v>37.61</v>
      </c>
      <c r="M54" s="24">
        <f>+[1]Sheet0!$E$505</f>
        <v>32</v>
      </c>
      <c r="N54" s="24">
        <f>+[1]Sheet0!$E$571</f>
        <v>38.28</v>
      </c>
      <c r="O54" s="24">
        <f>+[1]Sheet0!$E$634</f>
        <v>33.200000000000003</v>
      </c>
      <c r="P54" s="24">
        <f>+[1]Sheet0!$E$697</f>
        <v>31</v>
      </c>
      <c r="Q54" s="24">
        <f>+[1]Sheet0!$E$758</f>
        <v>25.65</v>
      </c>
      <c r="R54" s="24">
        <f>+[1]Sheet0!$E$823</f>
        <v>11.8</v>
      </c>
      <c r="S54" s="24">
        <f>+[1]Sheet0!$E$885</f>
        <v>13.6</v>
      </c>
      <c r="T54" s="24">
        <f>+[1]Sheet0!$E$949</f>
        <v>15.2</v>
      </c>
      <c r="U54" s="24">
        <f>+[1]Sheet0!$E$1009</f>
        <v>15.1</v>
      </c>
      <c r="V54" s="24">
        <f>+[1]Sheet0!$E$1072</f>
        <v>13.5</v>
      </c>
      <c r="W54" s="24">
        <f>+[1]Sheet0!$E$1133</f>
        <v>10.4</v>
      </c>
      <c r="X54" s="24">
        <f>+[1]Sheet0!$E$1195</f>
        <v>6.65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>
        <f>+[1]Sheet0!$FR$252</f>
        <v>36.14152</v>
      </c>
      <c r="J55" s="41">
        <f>+[1]Sheet0!$FR$318</f>
        <v>31.808167330677293</v>
      </c>
      <c r="K55" s="56">
        <f>+[1]Sheet0!$FR$381</f>
        <v>32.962936507936504</v>
      </c>
      <c r="L55" s="24">
        <f>+[1]Sheet0!$FR$443</f>
        <v>35.41249999999998</v>
      </c>
      <c r="M55" s="24">
        <f>+[1]Sheet0!$FR$505</f>
        <v>36.846837944664031</v>
      </c>
      <c r="N55" s="24">
        <f>+[1]Sheet0!$FR$571</f>
        <v>36.110474308300397</v>
      </c>
      <c r="O55" s="42">
        <f>+[1]Sheet0!$FR$634</f>
        <v>36.333438735177857</v>
      </c>
      <c r="P55" s="24">
        <f>+[1]Sheet0!$FR$697</f>
        <v>35.542834645669288</v>
      </c>
      <c r="Q55" s="24">
        <f>+[1]Sheet0!$FR$758</f>
        <v>33.491462450592863</v>
      </c>
      <c r="R55" s="24">
        <f>+[1]Sheet0!$FR$823</f>
        <v>28.699007936507922</v>
      </c>
      <c r="S55" s="42">
        <f>+[1]Sheet0!$FR$885</f>
        <v>23.277968127490034</v>
      </c>
      <c r="T55" s="24">
        <f>+[1]Sheet0!$FR$949</f>
        <v>19.389682539682539</v>
      </c>
      <c r="U55" s="24">
        <f>+[1]Sheet0!$FR$1009</f>
        <v>15.469163346613549</v>
      </c>
      <c r="V55" s="24">
        <f>+[1]Sheet0!$FR$1072</f>
        <v>14.30084337349399</v>
      </c>
      <c r="W55" s="42">
        <f>+[1]Sheet0!$FR$1133</f>
        <v>13.768185483870978</v>
      </c>
      <c r="X55" s="24">
        <f>+[1]Sheet0!$FR$1195</f>
        <v>12.063170731707318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4.1754998668501173</v>
      </c>
      <c r="H59" s="4">
        <f>+((+G10+H10)/2)/((+G17+H17)/2)</f>
        <v>3.8895146860877854</v>
      </c>
      <c r="I59" s="4">
        <f>+((+G10+I10)/2)/((+G17+I17)/2)</f>
        <v>3.4665479134327279</v>
      </c>
      <c r="J59" s="4">
        <f>+((+G10+J10)/2)/((+G17+J17)/2)</f>
        <v>3.6306059318031547</v>
      </c>
      <c r="K59" s="4">
        <f t="shared" ref="K59:X59" si="53">+((+G10+K10)/2)/((+G17+K17)/2)</f>
        <v>3.7779638718692627</v>
      </c>
      <c r="L59" s="4">
        <f t="shared" si="53"/>
        <v>4.1090750571151133</v>
      </c>
      <c r="M59" s="4">
        <f t="shared" si="53"/>
        <v>3.359782988601685</v>
      </c>
      <c r="N59" s="4">
        <f t="shared" si="53"/>
        <v>3.5550561475742626</v>
      </c>
      <c r="O59" s="4">
        <f t="shared" si="53"/>
        <v>3.6658866428775938</v>
      </c>
      <c r="P59" s="4">
        <f t="shared" si="53"/>
        <v>4.0612515424768354</v>
      </c>
      <c r="Q59" s="4">
        <f t="shared" si="53"/>
        <v>3.5304462505023646</v>
      </c>
      <c r="R59" s="4">
        <f t="shared" si="53"/>
        <v>3.5757690435629108</v>
      </c>
      <c r="S59" s="4">
        <f t="shared" si="53"/>
        <v>3.0900813322174296</v>
      </c>
      <c r="T59" s="4">
        <f t="shared" si="53"/>
        <v>2.7673859455258589</v>
      </c>
      <c r="U59" s="4">
        <f t="shared" si="53"/>
        <v>2.7042247805322832</v>
      </c>
      <c r="V59" s="4">
        <f t="shared" si="53"/>
        <v>2.6253773875462358</v>
      </c>
      <c r="W59" s="4">
        <f t="shared" si="53"/>
        <v>2.55832292776179</v>
      </c>
      <c r="X59" s="4">
        <f t="shared" si="53"/>
        <v>2.4278559508645121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8.6430917402689628E-2</v>
      </c>
      <c r="H60" s="4">
        <f>+((+G8+H8)/2)/((+G17+H17)/2)</f>
        <v>0.10486573061508184</v>
      </c>
      <c r="I60" s="4">
        <f>+((+G8+I8)/2)/((+G17+I17)/2)</f>
        <v>9.9894859391357713E-2</v>
      </c>
      <c r="J60" s="4">
        <f>+((+G8+J8)/2)/((+G17+J17)/2)</f>
        <v>0.16853806555209219</v>
      </c>
      <c r="K60" s="4">
        <f t="shared" ref="K60:X60" si="54">+((+G8+K8)/2)/((+G17+K17)/2)</f>
        <v>0.11182575646835258</v>
      </c>
      <c r="L60" s="4">
        <f t="shared" si="54"/>
        <v>0.19468333629533471</v>
      </c>
      <c r="M60" s="4">
        <f t="shared" si="54"/>
        <v>0.24448212003442971</v>
      </c>
      <c r="N60" s="4">
        <f t="shared" si="54"/>
        <v>0.17837064563739796</v>
      </c>
      <c r="O60" s="4">
        <f t="shared" si="54"/>
        <v>0.13789068842470312</v>
      </c>
      <c r="P60" s="4">
        <f t="shared" si="54"/>
        <v>0.23066293462515358</v>
      </c>
      <c r="Q60" s="4">
        <f t="shared" si="54"/>
        <v>0.2533048309954305</v>
      </c>
      <c r="R60" s="4">
        <f t="shared" si="54"/>
        <v>0.10968240447797517</v>
      </c>
      <c r="S60" s="4">
        <f t="shared" si="54"/>
        <v>0.11259361788879589</v>
      </c>
      <c r="T60" s="4">
        <f t="shared" si="54"/>
        <v>0.13861584979118463</v>
      </c>
      <c r="U60" s="4">
        <f t="shared" si="54"/>
        <v>0.10558627043465271</v>
      </c>
      <c r="V60" s="4">
        <f t="shared" si="54"/>
        <v>0.18308267191877833</v>
      </c>
      <c r="W60" s="4">
        <f t="shared" si="54"/>
        <v>0.12661148878208928</v>
      </c>
      <c r="X60" s="4">
        <f t="shared" si="54"/>
        <v>0.13678743174255217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5">+G10-G17</f>
        <v>1144755</v>
      </c>
      <c r="H61" s="3">
        <f t="shared" si="55"/>
        <v>1150060</v>
      </c>
      <c r="I61" s="3">
        <f t="shared" si="55"/>
        <v>1041672</v>
      </c>
      <c r="J61" s="3">
        <f t="shared" si="55"/>
        <v>1083263</v>
      </c>
      <c r="K61" s="3">
        <f t="shared" si="55"/>
        <v>1097723</v>
      </c>
      <c r="L61" s="3">
        <f t="shared" si="55"/>
        <v>1264143</v>
      </c>
      <c r="M61" s="3">
        <f t="shared" si="55"/>
        <v>1220121</v>
      </c>
      <c r="N61" s="3">
        <f t="shared" si="55"/>
        <v>1056433</v>
      </c>
      <c r="O61" s="3">
        <f t="shared" si="55"/>
        <v>1053149</v>
      </c>
      <c r="P61" s="3">
        <f t="shared" si="55"/>
        <v>1075244</v>
      </c>
      <c r="Q61" s="3">
        <f t="shared" si="55"/>
        <v>1128414</v>
      </c>
      <c r="R61" s="3">
        <f t="shared" si="55"/>
        <v>1060334</v>
      </c>
      <c r="S61" s="3">
        <f t="shared" si="55"/>
        <v>894765</v>
      </c>
      <c r="T61" s="3">
        <f t="shared" si="55"/>
        <v>816854</v>
      </c>
      <c r="U61" s="3">
        <f t="shared" si="55"/>
        <v>845322</v>
      </c>
      <c r="V61" s="3">
        <f t="shared" si="55"/>
        <v>570373</v>
      </c>
      <c r="W61" s="3">
        <f t="shared" si="55"/>
        <v>616548</v>
      </c>
      <c r="X61" s="3">
        <f t="shared" si="55"/>
        <v>629150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1144755</v>
      </c>
      <c r="H62" s="3">
        <f>+((+H10+G10)/2)-((+H17+G17)/2)</f>
        <v>1147407.5</v>
      </c>
      <c r="I62" s="3">
        <f>+((+I10+G10)/2)-((+I17+G17)/2)</f>
        <v>1093213.5</v>
      </c>
      <c r="J62" s="3">
        <f>+((+J10+G10)/2)-((+J17+G17)/2)</f>
        <v>1114009</v>
      </c>
      <c r="K62" s="3">
        <f t="shared" ref="K62:X62" si="56">+((+K10+G10)/2)-((+K17+G17)/2)</f>
        <v>1121239</v>
      </c>
      <c r="L62" s="3">
        <f t="shared" si="56"/>
        <v>1207101.5</v>
      </c>
      <c r="M62" s="3">
        <f t="shared" si="56"/>
        <v>1130896.5</v>
      </c>
      <c r="N62" s="3">
        <f t="shared" si="56"/>
        <v>1069848</v>
      </c>
      <c r="O62" s="3">
        <f t="shared" si="56"/>
        <v>1075436</v>
      </c>
      <c r="P62" s="3">
        <f t="shared" si="56"/>
        <v>1169693.5</v>
      </c>
      <c r="Q62" s="3">
        <f t="shared" si="56"/>
        <v>1174267.5</v>
      </c>
      <c r="R62" s="3">
        <f t="shared" si="56"/>
        <v>1058383.5</v>
      </c>
      <c r="S62" s="3">
        <f t="shared" si="56"/>
        <v>973957</v>
      </c>
      <c r="T62" s="3">
        <f t="shared" si="56"/>
        <v>946049</v>
      </c>
      <c r="U62" s="3">
        <f t="shared" si="56"/>
        <v>986868</v>
      </c>
      <c r="V62" s="3">
        <f t="shared" si="56"/>
        <v>815353.5</v>
      </c>
      <c r="W62" s="3">
        <f t="shared" si="56"/>
        <v>755656.5</v>
      </c>
      <c r="X62" s="3">
        <f t="shared" si="56"/>
        <v>723002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2223.4321638897018</v>
      </c>
      <c r="H66" s="3">
        <f>+((+H9+G9)/2)/(+H37+G37+F37+E37)*$D$204</f>
        <v>2431.1394565407218</v>
      </c>
      <c r="I66" s="3">
        <f>+((+I9+G9)/2)/(+I37+H37+G37+F37)*$D$204</f>
        <v>2202.6604274007573</v>
      </c>
      <c r="J66" s="3">
        <f>+((+J9+G9)/2)/(+J37+I37+H37+G37)*$D$204</f>
        <v>2225.9482830535044</v>
      </c>
      <c r="K66" s="3">
        <f t="shared" ref="K66:S66" si="57">+((+K9+G9)/2)/(+K37+J37+I37+H37)*$D$204</f>
        <v>2440.7719335508536</v>
      </c>
      <c r="L66" s="3">
        <f t="shared" si="57"/>
        <v>2298.6783987170506</v>
      </c>
      <c r="M66" s="3">
        <f t="shared" si="57"/>
        <v>2545.4794024635767</v>
      </c>
      <c r="N66" s="3">
        <f t="shared" si="57"/>
        <v>2735.2829543647636</v>
      </c>
      <c r="O66" s="3">
        <f t="shared" si="57"/>
        <v>2881.7402393156704</v>
      </c>
      <c r="P66" s="3">
        <f t="shared" si="57"/>
        <v>3356.2043278593774</v>
      </c>
      <c r="Q66" s="3">
        <f t="shared" si="57"/>
        <v>3489.5521311372354</v>
      </c>
      <c r="R66" s="3">
        <f t="shared" si="57"/>
        <v>2612.8182220278754</v>
      </c>
      <c r="S66" s="3">
        <f t="shared" si="57"/>
        <v>1751.6923288448302</v>
      </c>
      <c r="T66" s="3">
        <f>+((+T9+P9)/2)/(+T37+S37+R37+Q37)*$E$204</f>
        <v>1466.288320606775</v>
      </c>
      <c r="U66" s="3">
        <f>+((+U9+Q9)/2)/(+U37+T37+S37+R37)*$E$204</f>
        <v>1510.2815551551946</v>
      </c>
      <c r="V66" s="3">
        <f>+((+V9+R9)/2)/(+V37+U37+T37+S37)*$E$204</f>
        <v>1091.3932107599744</v>
      </c>
      <c r="W66" s="3">
        <f>+((+W9+S9)/2)/(+W37+V37+U37+T37)*$E$204</f>
        <v>1492.6910641653524</v>
      </c>
      <c r="X66" s="3">
        <f>+((+X9+T9)/2)/(+X37+W37+V37+U37)*$D$204</f>
        <v>1716.7485373952459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695.66302336249032</v>
      </c>
      <c r="H67" s="3">
        <f>+((+H17+G17)/2)/(+H38+G38+F38+E38)*$D$204</f>
        <v>871.02093303259767</v>
      </c>
      <c r="I67" s="3">
        <f>+((+I17+G17)/2)/(+I38+H38+G38+F38)*$D$204</f>
        <v>798.04544984467441</v>
      </c>
      <c r="J67" s="3">
        <f>+((+J17+G17)/2)/(+J38+I38+H38+G38)*$D$204</f>
        <v>865.15275471440975</v>
      </c>
      <c r="K67" s="3">
        <f t="shared" ref="K67:S67" si="58">+((+K17+G17)/2)/(+K38+J38+I38+H38)*$D$204</f>
        <v>1265.9156605800215</v>
      </c>
      <c r="L67" s="3">
        <f t="shared" si="58"/>
        <v>1047.7598482832045</v>
      </c>
      <c r="M67" s="3">
        <f t="shared" si="58"/>
        <v>1671.364706950257</v>
      </c>
      <c r="N67" s="3">
        <f t="shared" si="58"/>
        <v>1421.0591549819617</v>
      </c>
      <c r="O67" s="3">
        <f t="shared" si="58"/>
        <v>1114.3488617615451</v>
      </c>
      <c r="P67" s="3">
        <f t="shared" si="58"/>
        <v>1259.5981150990769</v>
      </c>
      <c r="Q67" s="3">
        <f t="shared" si="58"/>
        <v>2585.4449880176453</v>
      </c>
      <c r="R67" s="3">
        <f t="shared" si="58"/>
        <v>1523.2584121309376</v>
      </c>
      <c r="S67" s="3">
        <f t="shared" si="58"/>
        <v>795.55812811337967</v>
      </c>
      <c r="T67" s="3">
        <f>+((+T17+P17)/2)/(+T38+S38+R38+Q38)*$E$204</f>
        <v>704.45958706095564</v>
      </c>
      <c r="U67" s="3">
        <f>+((+U17+Q17)/2)/(+U38+T38+S38+R38)*$E$204</f>
        <v>714.9368485322791</v>
      </c>
      <c r="V67" s="3">
        <f>+((+V17+R17)/2)/(+V38+U38+T38+S38)*$E$204</f>
        <v>646.05595279148167</v>
      </c>
      <c r="W67" s="3">
        <f>+((+W17+S17)/2)/(+W38+V38+U38+T38)*$E$204</f>
        <v>1337.1060843491493</v>
      </c>
      <c r="X67" s="3">
        <f>+((+X17+T17)/2)/(+X38+W38+V38+U38)*$D$204</f>
        <v>1933.1176064514104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2209.0778380601382</v>
      </c>
      <c r="H68" s="3">
        <f t="shared" ref="H68:S68" si="59">+H62/(+H38+G38+F38+E38)*$D$204</f>
        <v>2516.8277778875763</v>
      </c>
      <c r="I68" s="3">
        <f t="shared" si="59"/>
        <v>1968.4173391388642</v>
      </c>
      <c r="J68" s="3">
        <f t="shared" si="59"/>
        <v>2275.8759684675656</v>
      </c>
      <c r="K68" s="3">
        <f t="shared" si="59"/>
        <v>3516.667969924812</v>
      </c>
      <c r="L68" s="3">
        <f t="shared" si="59"/>
        <v>3257.5640101440276</v>
      </c>
      <c r="M68" s="3">
        <f t="shared" si="59"/>
        <v>3944.0580032104572</v>
      </c>
      <c r="N68" s="3">
        <f t="shared" si="59"/>
        <v>3630.8859300033473</v>
      </c>
      <c r="O68" s="3">
        <f t="shared" si="59"/>
        <v>2970.7277460759533</v>
      </c>
      <c r="P68" s="3">
        <f t="shared" si="59"/>
        <v>3855.9466727479635</v>
      </c>
      <c r="Q68" s="3">
        <f t="shared" si="59"/>
        <v>6542.3295758093809</v>
      </c>
      <c r="R68" s="3">
        <f t="shared" si="59"/>
        <v>3923.5618633136637</v>
      </c>
      <c r="S68" s="3">
        <f t="shared" si="59"/>
        <v>1662.781192263617</v>
      </c>
      <c r="T68" s="3">
        <f>+T62/(+T38+S38+R38+Q38)*$E$204</f>
        <v>1245.0519733624831</v>
      </c>
      <c r="U68" s="3">
        <f>+U62/(+U38+T38+S38+R38)*$E$204</f>
        <v>1218.4130937843654</v>
      </c>
      <c r="V68" s="3">
        <f>+V62/(+V38+U38+T38+S38)*$E$204</f>
        <v>1050.0847367569127</v>
      </c>
      <c r="W68" s="3">
        <f>+W62/(+W38+V38+U38+T38)*$E$204</f>
        <v>2083.6430680910694</v>
      </c>
      <c r="X68" s="3">
        <f>+X62/(+X38+W38+V38+U38)*$D$204</f>
        <v>2760.2134780926085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60">(+G39+F39+E39+D39)/(+G37+F37+E37+D37)</f>
        <v>0.21837124100044911</v>
      </c>
      <c r="H72" s="20">
        <f t="shared" si="60"/>
        <v>0.26251077987580301</v>
      </c>
      <c r="I72" s="20">
        <f t="shared" si="60"/>
        <v>0.18017423942429811</v>
      </c>
      <c r="J72" s="20">
        <f t="shared" si="60"/>
        <v>0.25683251891262032</v>
      </c>
      <c r="K72" s="20">
        <f t="shared" si="60"/>
        <v>0.47408736363554199</v>
      </c>
      <c r="L72" s="20">
        <f t="shared" si="60"/>
        <v>0.43953024834347898</v>
      </c>
      <c r="M72" s="20">
        <f t="shared" si="60"/>
        <v>0.51112439800260656</v>
      </c>
      <c r="N72" s="20">
        <f t="shared" si="60"/>
        <v>0.42996766841575235</v>
      </c>
      <c r="O72" s="20">
        <f t="shared" si="60"/>
        <v>0.2669972928593618</v>
      </c>
      <c r="P72" s="20">
        <f t="shared" si="60"/>
        <v>0.30441392654763849</v>
      </c>
      <c r="Q72" s="20">
        <f t="shared" si="60"/>
        <v>0.58814987112591943</v>
      </c>
      <c r="R72" s="20">
        <f t="shared" si="60"/>
        <v>0.50512422282201686</v>
      </c>
      <c r="S72" s="20">
        <f t="shared" si="60"/>
        <v>0.26050382381731457</v>
      </c>
      <c r="T72" s="20">
        <f t="shared" si="60"/>
        <v>0.20820877249924552</v>
      </c>
      <c r="U72" s="20">
        <f t="shared" si="60"/>
        <v>0.18708644230004579</v>
      </c>
      <c r="V72" s="20">
        <f t="shared" si="60"/>
        <v>0.30830753353973167</v>
      </c>
      <c r="W72" s="20">
        <f t="shared" si="60"/>
        <v>0.54091613403060235</v>
      </c>
      <c r="X72" s="20">
        <f t="shared" si="60"/>
        <v>0.61237629181549491</v>
      </c>
    </row>
    <row r="73" spans="2:24" x14ac:dyDescent="0.25">
      <c r="B73" s="1" t="s">
        <v>140</v>
      </c>
      <c r="C73" s="1" t="s">
        <v>142</v>
      </c>
      <c r="G73" s="20">
        <f t="shared" ref="G73:X73" si="61">+(+G43+F43+E43+D43)/(+G37+F37+E37+D37)</f>
        <v>0.18683211690864651</v>
      </c>
      <c r="H73" s="20">
        <f t="shared" si="61"/>
        <v>0.22364784921386496</v>
      </c>
      <c r="I73" s="20">
        <f t="shared" si="61"/>
        <v>0.14122246824989401</v>
      </c>
      <c r="J73" s="20">
        <f t="shared" si="61"/>
        <v>0.20078093899360025</v>
      </c>
      <c r="K73" s="20">
        <f t="shared" si="61"/>
        <v>0.28756970743214538</v>
      </c>
      <c r="L73" s="20">
        <f t="shared" si="61"/>
        <v>0.27755377736523024</v>
      </c>
      <c r="M73" s="20">
        <f t="shared" si="61"/>
        <v>0.34644687241625755</v>
      </c>
      <c r="N73" s="20">
        <f t="shared" si="61"/>
        <v>0.40575078178830765</v>
      </c>
      <c r="O73" s="20">
        <f t="shared" si="61"/>
        <v>0.28603603603603606</v>
      </c>
      <c r="P73" s="20">
        <f t="shared" si="61"/>
        <v>0.32681651987083643</v>
      </c>
      <c r="Q73" s="20">
        <f t="shared" si="61"/>
        <v>0.51306971773433074</v>
      </c>
      <c r="R73" s="20">
        <f t="shared" si="61"/>
        <v>0.33413250099267683</v>
      </c>
      <c r="S73" s="20">
        <f t="shared" si="61"/>
        <v>0.24544030106292092</v>
      </c>
      <c r="T73" s="20">
        <f t="shared" si="61"/>
        <v>0.16258961262292376</v>
      </c>
      <c r="U73" s="20">
        <f t="shared" si="61"/>
        <v>7.4335496927367406E-2</v>
      </c>
      <c r="V73" s="20">
        <f t="shared" si="61"/>
        <v>8.0154604046186503E-2</v>
      </c>
      <c r="W73" s="20">
        <f t="shared" si="61"/>
        <v>8.9026313605046897E-2</v>
      </c>
      <c r="X73" s="20">
        <f t="shared" si="61"/>
        <v>0.10264789234904662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2.5124778734577913E-2</v>
      </c>
      <c r="H74" s="20">
        <f>+(+H43+G43+F43+E43)/((+H14+G14)/2)</f>
        <v>2.7168852577612077E-2</v>
      </c>
      <c r="I74" s="20">
        <f>+(+I43+H43+G43+F43)/((+I14+G14)/2)</f>
        <v>1.8713167707720434E-2</v>
      </c>
      <c r="J74" s="20">
        <f>+(+J43+I43+H43+G43)/((+J14+G14)/2)</f>
        <v>2.5557300213170969E-2</v>
      </c>
      <c r="K74" s="20">
        <f t="shared" ref="K74:X74" si="62">+(+K43+J43+I43+H43)/((+K14+G14)/2)</f>
        <v>3.3256377592683323E-2</v>
      </c>
      <c r="L74" s="20">
        <f t="shared" si="62"/>
        <v>3.391232737580336E-2</v>
      </c>
      <c r="M74" s="20">
        <f t="shared" si="62"/>
        <v>3.62460707806831E-2</v>
      </c>
      <c r="N74" s="20">
        <f t="shared" si="62"/>
        <v>3.7819825605809848E-2</v>
      </c>
      <c r="O74" s="20">
        <f t="shared" si="62"/>
        <v>2.4770035760472091E-2</v>
      </c>
      <c r="P74" s="20">
        <f t="shared" si="62"/>
        <v>2.4339218204024706E-2</v>
      </c>
      <c r="Q74" s="20">
        <f t="shared" si="62"/>
        <v>3.6083905448088767E-2</v>
      </c>
      <c r="R74" s="20">
        <f t="shared" si="62"/>
        <v>3.0557931154789449E-2</v>
      </c>
      <c r="S74" s="20">
        <f t="shared" si="62"/>
        <v>3.2535030900920359E-2</v>
      </c>
      <c r="T74" s="20">
        <f t="shared" si="62"/>
        <v>2.5561935557799599E-2</v>
      </c>
      <c r="U74" s="20">
        <f t="shared" si="62"/>
        <v>1.1731662245149675E-2</v>
      </c>
      <c r="V74" s="20">
        <f t="shared" si="62"/>
        <v>1.4316284599843283E-2</v>
      </c>
      <c r="W74" s="20">
        <f t="shared" si="62"/>
        <v>1.1494286236753271E-2</v>
      </c>
      <c r="X74" s="20">
        <f t="shared" si="62"/>
        <v>1.1261383480398218E-2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4.8536153465675115E-2</v>
      </c>
      <c r="H75" s="20">
        <f>(+H43+G43+F43+E43)/((+H22+G22)/2)</f>
        <v>5.365004972446738E-2</v>
      </c>
      <c r="I75" s="20">
        <f>(+I43+H43+G43+F43)/((+I22+G22)/2)</f>
        <v>3.6359299082775645E-2</v>
      </c>
      <c r="J75" s="20">
        <f>(+J43+I43+H43+G43)/((+J22+G22)/2)</f>
        <v>4.8007959333770764E-2</v>
      </c>
      <c r="K75" s="20">
        <f t="shared" ref="K75:X75" si="63">(+K43+J43+I43+H43)/((+K22+G22)/2)</f>
        <v>6.1759116734183654E-2</v>
      </c>
      <c r="L75" s="20">
        <f t="shared" si="63"/>
        <v>6.4126124892710648E-2</v>
      </c>
      <c r="M75" s="20">
        <f t="shared" si="63"/>
        <v>6.9328332991367023E-2</v>
      </c>
      <c r="N75" s="20">
        <f t="shared" si="63"/>
        <v>6.8663341715224688E-2</v>
      </c>
      <c r="O75" s="20">
        <f t="shared" si="63"/>
        <v>4.5107618526474547E-2</v>
      </c>
      <c r="P75" s="20">
        <f t="shared" si="63"/>
        <v>4.4893670727681856E-2</v>
      </c>
      <c r="Q75" s="20">
        <f t="shared" si="63"/>
        <v>6.7267242516154555E-2</v>
      </c>
      <c r="R75" s="20">
        <f t="shared" si="63"/>
        <v>5.4851509493276607E-2</v>
      </c>
      <c r="S75" s="20">
        <f t="shared" si="63"/>
        <v>5.8113575312848061E-2</v>
      </c>
      <c r="T75" s="20">
        <f t="shared" si="63"/>
        <v>4.642452995844254E-2</v>
      </c>
      <c r="U75" s="20">
        <f t="shared" si="63"/>
        <v>2.1119370251978676E-2</v>
      </c>
      <c r="V75" s="20">
        <f t="shared" si="63"/>
        <v>2.558208725657516E-2</v>
      </c>
      <c r="W75" s="20">
        <f t="shared" si="63"/>
        <v>1.9723147995253879E-2</v>
      </c>
      <c r="X75" s="20">
        <f t="shared" si="63"/>
        <v>1.9368307671358422E-2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4">+G18/G14</f>
        <v>0.48234919867833742</v>
      </c>
      <c r="H79" s="20">
        <f t="shared" si="64"/>
        <v>0.50421003865854586</v>
      </c>
      <c r="I79" s="20">
        <f t="shared" si="64"/>
        <v>0.48811344441908239</v>
      </c>
      <c r="J79" s="20">
        <f t="shared" si="64"/>
        <v>0.45419595058304263</v>
      </c>
      <c r="K79" s="20">
        <f t="shared" si="64"/>
        <v>0.44292678151240977</v>
      </c>
      <c r="L79" s="20">
        <f t="shared" si="64"/>
        <v>0.44021213719695734</v>
      </c>
      <c r="M79" s="20">
        <f t="shared" si="64"/>
        <v>0.46744882611411065</v>
      </c>
      <c r="N79" s="20">
        <f t="shared" si="64"/>
        <v>0.44444904870158342</v>
      </c>
      <c r="O79" s="20">
        <f t="shared" si="64"/>
        <v>0.45837044995387183</v>
      </c>
      <c r="P79" s="20">
        <f t="shared" si="64"/>
        <v>0.47394309006749635</v>
      </c>
      <c r="Q79" s="20">
        <f t="shared" si="64"/>
        <v>0.46001767006162475</v>
      </c>
      <c r="R79" s="20">
        <f t="shared" si="64"/>
        <v>0.44148182327543589</v>
      </c>
      <c r="S79" s="20">
        <f t="shared" si="64"/>
        <v>0.42258459385809038</v>
      </c>
      <c r="T79" s="20">
        <f t="shared" si="64"/>
        <v>0.42481236507547715</v>
      </c>
      <c r="U79" s="20">
        <f t="shared" si="64"/>
        <v>0.42833654799809773</v>
      </c>
      <c r="V79" s="20">
        <f t="shared" si="64"/>
        <v>0.43929877078440988</v>
      </c>
      <c r="W79" s="20">
        <f t="shared" si="64"/>
        <v>0.41193860863001636</v>
      </c>
      <c r="X79" s="20">
        <f t="shared" si="64"/>
        <v>0.41240348439291546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5">+G18/G22</f>
        <v>0.93180421520995749</v>
      </c>
      <c r="H80" s="20">
        <f t="shared" si="65"/>
        <v>1.0169831541048342</v>
      </c>
      <c r="I80" s="20">
        <f t="shared" si="65"/>
        <v>0.95355785202278631</v>
      </c>
      <c r="J80" s="20">
        <f t="shared" si="65"/>
        <v>0.83215936391132872</v>
      </c>
      <c r="K80" s="20">
        <f t="shared" si="65"/>
        <v>0.79509616835453145</v>
      </c>
      <c r="L80" s="20">
        <f t="shared" si="65"/>
        <v>0.78639099996321793</v>
      </c>
      <c r="M80" s="20">
        <f t="shared" si="65"/>
        <v>0.87775381791623219</v>
      </c>
      <c r="N80" s="20">
        <f t="shared" si="65"/>
        <v>0.80001491791676493</v>
      </c>
      <c r="O80" s="20">
        <f t="shared" si="65"/>
        <v>0.84628035880766572</v>
      </c>
      <c r="P80" s="20">
        <f t="shared" si="65"/>
        <v>0.90093501505056972</v>
      </c>
      <c r="Q80" s="20">
        <f t="shared" si="65"/>
        <v>0.85191245075394162</v>
      </c>
      <c r="R80" s="20">
        <f t="shared" si="65"/>
        <v>0.79045202407647819</v>
      </c>
      <c r="S80" s="20">
        <f t="shared" si="65"/>
        <v>0.73185541875589144</v>
      </c>
      <c r="T80" s="20">
        <f t="shared" si="65"/>
        <v>0.73856310407511061</v>
      </c>
      <c r="U80" s="20">
        <f t="shared" si="65"/>
        <v>0.74928097379342762</v>
      </c>
      <c r="V80" s="20">
        <f t="shared" si="65"/>
        <v>0.78348101964923478</v>
      </c>
      <c r="W80" s="20">
        <f t="shared" si="65"/>
        <v>0.70050272756444543</v>
      </c>
      <c r="X80" s="20">
        <f t="shared" si="65"/>
        <v>0.7018480767654558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6">+G39+F39+E39+D39</f>
        <v>52987.999999999971</v>
      </c>
      <c r="H81" s="7">
        <f t="shared" si="66"/>
        <v>59230.925107765484</v>
      </c>
      <c r="I81" s="7">
        <f t="shared" si="66"/>
        <v>44550.420283020372</v>
      </c>
      <c r="J81" s="7">
        <f t="shared" si="66"/>
        <v>61744.216948833709</v>
      </c>
      <c r="K81" s="7">
        <f t="shared" si="66"/>
        <v>104907</v>
      </c>
      <c r="L81" s="7">
        <f t="shared" si="66"/>
        <v>106067</v>
      </c>
      <c r="M81" s="7">
        <f t="shared" si="66"/>
        <v>109421</v>
      </c>
      <c r="N81" s="7">
        <f t="shared" si="66"/>
        <v>81122</v>
      </c>
      <c r="O81" s="7">
        <f t="shared" si="66"/>
        <v>48130</v>
      </c>
      <c r="P81" s="7">
        <f t="shared" si="66"/>
        <v>48456</v>
      </c>
      <c r="Q81" s="7">
        <f t="shared" ref="Q81:X82" si="67">+Q39+P39+O39+N39</f>
        <v>93557</v>
      </c>
      <c r="R81" s="7">
        <f t="shared" si="67"/>
        <v>100498</v>
      </c>
      <c r="S81" s="7">
        <f t="shared" si="67"/>
        <v>75314</v>
      </c>
      <c r="T81" s="7">
        <f t="shared" si="67"/>
        <v>73130</v>
      </c>
      <c r="U81" s="7">
        <f t="shared" si="67"/>
        <v>68225</v>
      </c>
      <c r="V81" s="7">
        <f t="shared" si="67"/>
        <v>126670</v>
      </c>
      <c r="W81" s="7">
        <f t="shared" si="67"/>
        <v>156394</v>
      </c>
      <c r="X81" s="7">
        <f t="shared" si="67"/>
        <v>151042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6"/>
        <v>7176.0000000000009</v>
      </c>
      <c r="H82" s="7">
        <f t="shared" si="66"/>
        <v>5575.4372741880361</v>
      </c>
      <c r="I82" s="7">
        <f t="shared" si="66"/>
        <v>-653.41279784817766</v>
      </c>
      <c r="J82" s="7">
        <f t="shared" si="66"/>
        <v>-4739.9543057210485</v>
      </c>
      <c r="K82" s="7">
        <f t="shared" si="66"/>
        <v>-18942</v>
      </c>
      <c r="L82" s="7">
        <f t="shared" si="66"/>
        <v>-16029</v>
      </c>
      <c r="M82" s="7">
        <f t="shared" si="66"/>
        <v>-7730</v>
      </c>
      <c r="N82" s="7">
        <f t="shared" si="66"/>
        <v>22981</v>
      </c>
      <c r="O82" s="7">
        <f t="shared" si="66"/>
        <v>24947</v>
      </c>
      <c r="P82" s="7">
        <f t="shared" si="66"/>
        <v>25632</v>
      </c>
      <c r="Q82" s="7">
        <f t="shared" si="67"/>
        <v>14881</v>
      </c>
      <c r="R82" s="7">
        <f t="shared" si="67"/>
        <v>-11259</v>
      </c>
      <c r="S82" s="7">
        <f t="shared" si="67"/>
        <v>-9964</v>
      </c>
      <c r="T82" s="7">
        <f t="shared" si="67"/>
        <v>-24472</v>
      </c>
      <c r="U82" s="7">
        <f t="shared" si="67"/>
        <v>-53547</v>
      </c>
      <c r="V82" s="7">
        <f t="shared" si="67"/>
        <v>-98868</v>
      </c>
      <c r="W82" s="7">
        <f t="shared" si="67"/>
        <v>-123317</v>
      </c>
      <c r="X82" s="7">
        <f t="shared" si="67"/>
        <v>-118467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 t="s">
        <v>168</v>
      </c>
      <c r="H83" s="55" t="s">
        <v>168</v>
      </c>
      <c r="I83" s="55">
        <f t="shared" ref="G83:U83" si="68">+I81/-I82</f>
        <v>68.181125973862223</v>
      </c>
      <c r="J83" s="55">
        <f t="shared" si="68"/>
        <v>13.026331683052183</v>
      </c>
      <c r="K83" s="55">
        <f t="shared" si="68"/>
        <v>5.5383275261324041</v>
      </c>
      <c r="L83" s="55">
        <f t="shared" si="68"/>
        <v>6.6171938361719382</v>
      </c>
      <c r="M83" s="55">
        <f t="shared" si="68"/>
        <v>14.155368693402329</v>
      </c>
      <c r="N83" s="55" t="s">
        <v>168</v>
      </c>
      <c r="O83" s="55" t="s">
        <v>168</v>
      </c>
      <c r="P83" s="55" t="s">
        <v>168</v>
      </c>
      <c r="Q83" s="55" t="s">
        <v>168</v>
      </c>
      <c r="R83" s="55">
        <f t="shared" si="68"/>
        <v>8.9260147437605468</v>
      </c>
      <c r="S83" s="55">
        <f t="shared" si="68"/>
        <v>7.5586109995985549</v>
      </c>
      <c r="T83" s="55">
        <f t="shared" si="68"/>
        <v>2.9883131742399476</v>
      </c>
      <c r="U83" s="55">
        <f t="shared" si="68"/>
        <v>1.2741143294675705</v>
      </c>
      <c r="V83" s="55">
        <f>+V81/-V82</f>
        <v>1.281203220455557</v>
      </c>
      <c r="W83" s="55">
        <f>+W81/-W82</f>
        <v>1.2682274139007599</v>
      </c>
      <c r="X83" s="55">
        <f>+X81/-X82</f>
        <v>1.2749710889952477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9">(+G37+F37+E37+D37)/(+G38+F38+E38+D38)</f>
        <v>1.279379741963377</v>
      </c>
      <c r="H87" s="4">
        <f t="shared" si="69"/>
        <v>1.3559520230432587</v>
      </c>
      <c r="I87" s="4">
        <f t="shared" si="69"/>
        <v>1.2197713808087407</v>
      </c>
      <c r="J87" s="4">
        <f t="shared" si="69"/>
        <v>1.3455917077222366</v>
      </c>
      <c r="K87" s="4">
        <f t="shared" si="69"/>
        <v>1.9014564983888291</v>
      </c>
      <c r="L87" s="4">
        <f t="shared" si="69"/>
        <v>1.7842176086120722</v>
      </c>
      <c r="M87" s="4">
        <f t="shared" si="69"/>
        <v>2.0455101377821094</v>
      </c>
      <c r="N87" s="4">
        <f t="shared" si="69"/>
        <v>1.7542864581396214</v>
      </c>
      <c r="O87" s="4">
        <f t="shared" si="69"/>
        <v>1.3642514417182556</v>
      </c>
      <c r="P87" s="4">
        <f t="shared" si="69"/>
        <v>1.4376366033850545</v>
      </c>
      <c r="Q87" s="4">
        <f t="shared" si="69"/>
        <v>2.4280677117518659</v>
      </c>
      <c r="R87" s="4">
        <f t="shared" si="69"/>
        <v>2.0207091276571973</v>
      </c>
      <c r="S87" s="4">
        <f t="shared" si="69"/>
        <v>1.3522720362964522</v>
      </c>
      <c r="T87" s="4">
        <f t="shared" si="69"/>
        <v>1.2629591807381411</v>
      </c>
      <c r="U87" s="4">
        <f t="shared" si="69"/>
        <v>1.2301430952011496</v>
      </c>
      <c r="V87" s="4">
        <f t="shared" si="69"/>
        <v>1.4457292055203281</v>
      </c>
      <c r="W87" s="4">
        <f t="shared" si="69"/>
        <v>2.1782512393207467</v>
      </c>
      <c r="X87" s="4">
        <f t="shared" si="69"/>
        <v>2.5798215611827584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1.0228375854498382</v>
      </c>
      <c r="H88" s="4">
        <f t="shared" ref="H88:X88" si="70">+(1+H75)/(+H74+1)</f>
        <v>1.0257807633870542</v>
      </c>
      <c r="I88" s="4">
        <f t="shared" si="70"/>
        <v>1.0173219822168023</v>
      </c>
      <c r="J88" s="4">
        <f t="shared" si="70"/>
        <v>1.0218911796697592</v>
      </c>
      <c r="K88" s="4">
        <f t="shared" si="70"/>
        <v>1.0275853503153853</v>
      </c>
      <c r="L88" s="4">
        <f t="shared" si="70"/>
        <v>1.0292227848695776</v>
      </c>
      <c r="M88" s="4">
        <f t="shared" si="70"/>
        <v>1.0319251026792897</v>
      </c>
      <c r="N88" s="4">
        <f t="shared" si="70"/>
        <v>1.0297195287162784</v>
      </c>
      <c r="O88" s="4">
        <f t="shared" si="70"/>
        <v>1.019845996717605</v>
      </c>
      <c r="P88" s="4">
        <f t="shared" si="70"/>
        <v>1.0200660603034366</v>
      </c>
      <c r="Q88" s="4">
        <f t="shared" si="70"/>
        <v>1.030097308629246</v>
      </c>
      <c r="R88" s="4">
        <f t="shared" si="70"/>
        <v>1.0235732292228008</v>
      </c>
      <c r="S88" s="4">
        <f t="shared" si="70"/>
        <v>1.0247725681419348</v>
      </c>
      <c r="T88" s="4">
        <f t="shared" si="70"/>
        <v>1.0203425982159682</v>
      </c>
      <c r="U88" s="4">
        <f t="shared" si="70"/>
        <v>1.0092788516532107</v>
      </c>
      <c r="V88" s="4">
        <f t="shared" si="70"/>
        <v>1.0111067946239041</v>
      </c>
      <c r="W88" s="4">
        <f t="shared" si="70"/>
        <v>1.0081353516974534</v>
      </c>
      <c r="X88" s="4">
        <f t="shared" si="70"/>
        <v>1.0080166456698456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1.3085976861432576</v>
      </c>
      <c r="H89" s="4">
        <f t="shared" ref="H89:X89" si="71">+H88*H87</f>
        <v>1.3909095013135344</v>
      </c>
      <c r="I89" s="4">
        <f t="shared" si="71"/>
        <v>1.240900238975674</v>
      </c>
      <c r="J89" s="4">
        <f t="shared" si="71"/>
        <v>1.3750482975581222</v>
      </c>
      <c r="K89" s="4">
        <f t="shared" si="71"/>
        <v>1.9539088420063508</v>
      </c>
      <c r="L89" s="4">
        <f t="shared" si="71"/>
        <v>1.836357415949055</v>
      </c>
      <c r="M89" s="4">
        <f t="shared" si="71"/>
        <v>2.1108132589623314</v>
      </c>
      <c r="N89" s="4">
        <f t="shared" si="71"/>
        <v>1.8064230249088802</v>
      </c>
      <c r="O89" s="4">
        <f t="shared" si="71"/>
        <v>1.3913263713525841</v>
      </c>
      <c r="P89" s="4">
        <f t="shared" si="71"/>
        <v>1.4664843061630068</v>
      </c>
      <c r="Q89" s="4">
        <f t="shared" si="71"/>
        <v>2.501146015045169</v>
      </c>
      <c r="R89" s="4">
        <f t="shared" si="71"/>
        <v>2.0683437671160663</v>
      </c>
      <c r="S89" s="4">
        <f t="shared" si="71"/>
        <v>1.3857712874620391</v>
      </c>
      <c r="T89" s="4">
        <f t="shared" si="71"/>
        <v>1.2886510519150653</v>
      </c>
      <c r="U89" s="4">
        <f t="shared" si="71"/>
        <v>1.2415574104937426</v>
      </c>
      <c r="V89" s="4">
        <f t="shared" si="71"/>
        <v>1.4617866228878225</v>
      </c>
      <c r="W89" s="4">
        <f t="shared" si="71"/>
        <v>2.1959720792380346</v>
      </c>
      <c r="X89" s="4">
        <f t="shared" si="71"/>
        <v>2.6005030765301886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72">+G22/G48/1000</f>
        <v>51.576256212037549</v>
      </c>
      <c r="H93" s="4">
        <f t="shared" si="72"/>
        <v>52.297901711761455</v>
      </c>
      <c r="I93" s="4">
        <f t="shared" si="72"/>
        <v>50.266581762608254</v>
      </c>
      <c r="J93" s="4">
        <f t="shared" si="72"/>
        <v>48.571538114569236</v>
      </c>
      <c r="K93" s="4">
        <f t="shared" si="72"/>
        <v>50.796663660955822</v>
      </c>
      <c r="L93" s="4">
        <f t="shared" si="72"/>
        <v>51.481605049594229</v>
      </c>
      <c r="M93" s="4">
        <f t="shared" si="72"/>
        <v>51.930360360360361</v>
      </c>
      <c r="N93" s="4">
        <f t="shared" si="72"/>
        <v>51.889108910891089</v>
      </c>
      <c r="O93" s="4">
        <f t="shared" si="72"/>
        <v>52.183033303330333</v>
      </c>
      <c r="P93" s="4">
        <f t="shared" si="72"/>
        <v>52.911926192619262</v>
      </c>
      <c r="Q93" s="4">
        <f t="shared" si="72"/>
        <v>57.270953237410076</v>
      </c>
      <c r="R93" s="4">
        <f t="shared" si="72"/>
        <v>53.40126050420168</v>
      </c>
      <c r="S93" s="4">
        <f t="shared" si="72"/>
        <v>53.889621848739495</v>
      </c>
      <c r="T93" s="4">
        <f t="shared" si="72"/>
        <v>53.970798319327734</v>
      </c>
      <c r="U93" s="4">
        <f t="shared" si="72"/>
        <v>54.34521008403361</v>
      </c>
      <c r="V93" s="4">
        <f t="shared" si="72"/>
        <v>54.775798319327734</v>
      </c>
      <c r="W93" s="4">
        <f t="shared" si="72"/>
        <v>51.79703472493172</v>
      </c>
      <c r="X93" s="4">
        <f t="shared" si="72"/>
        <v>51.887202497073737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2.5033130866924354</v>
      </c>
      <c r="H94" s="43">
        <f t="shared" ref="H94:X94" si="73">(+H44+G44+F44+E44)/((+H48+H48)/2)/1000</f>
        <v>2.6617445950172209</v>
      </c>
      <c r="I94" s="43">
        <f t="shared" si="73"/>
        <v>1.9641749000537954</v>
      </c>
      <c r="J94" s="43">
        <f t="shared" si="73"/>
        <v>2.0446896274696544</v>
      </c>
      <c r="K94" s="43">
        <f t="shared" si="73"/>
        <v>2.8689810640216411</v>
      </c>
      <c r="L94" s="43">
        <f t="shared" si="73"/>
        <v>3.0197926059513076</v>
      </c>
      <c r="M94" s="43">
        <f t="shared" si="73"/>
        <v>3.3408558558558563</v>
      </c>
      <c r="N94" s="43">
        <f t="shared" si="73"/>
        <v>3.4452295229522956</v>
      </c>
      <c r="O94" s="43">
        <f t="shared" si="73"/>
        <v>2.3205220522052206</v>
      </c>
      <c r="P94" s="43">
        <f t="shared" si="73"/>
        <v>2.3412241224122412</v>
      </c>
      <c r="Q94" s="43">
        <f t="shared" si="73"/>
        <v>3.6696942446043166</v>
      </c>
      <c r="R94" s="43">
        <f t="shared" si="73"/>
        <v>2.793193277310924</v>
      </c>
      <c r="S94" s="43">
        <f t="shared" si="73"/>
        <v>2.9772689075630252</v>
      </c>
      <c r="T94" s="43">
        <f t="shared" si="73"/>
        <v>2.3952521008403358</v>
      </c>
      <c r="U94" s="43">
        <f t="shared" si="73"/>
        <v>1.1347899159663866</v>
      </c>
      <c r="V94" s="43">
        <f t="shared" si="73"/>
        <v>1.3794957983193277</v>
      </c>
      <c r="W94" s="43">
        <f t="shared" si="73"/>
        <v>1.0042918454935623</v>
      </c>
      <c r="X94" s="43">
        <f t="shared" si="73"/>
        <v>0.98782676550916904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74">+G48*G54*1000</f>
        <v>530441.89999999991</v>
      </c>
      <c r="H95" s="4">
        <f t="shared" si="74"/>
        <v>487158.99999999994</v>
      </c>
      <c r="I95" s="4">
        <f t="shared" si="74"/>
        <v>618344.99999999988</v>
      </c>
      <c r="J95" s="4">
        <f t="shared" si="74"/>
        <v>816521.10000000009</v>
      </c>
      <c r="K95" s="4">
        <f t="shared" si="74"/>
        <v>770755</v>
      </c>
      <c r="L95" s="4">
        <f t="shared" si="74"/>
        <v>834189.8</v>
      </c>
      <c r="M95" s="4">
        <f t="shared" si="74"/>
        <v>710400</v>
      </c>
      <c r="N95" s="4">
        <f t="shared" si="74"/>
        <v>850581.6</v>
      </c>
      <c r="O95" s="4">
        <f t="shared" si="74"/>
        <v>737704.00000000012</v>
      </c>
      <c r="P95" s="4">
        <f t="shared" si="74"/>
        <v>688819.99999999988</v>
      </c>
      <c r="Q95" s="4">
        <f t="shared" si="74"/>
        <v>570455.99999999988</v>
      </c>
      <c r="R95" s="4">
        <f t="shared" si="74"/>
        <v>280840.00000000006</v>
      </c>
      <c r="S95" s="4">
        <f t="shared" si="74"/>
        <v>323680</v>
      </c>
      <c r="T95" s="4">
        <f t="shared" si="74"/>
        <v>361760</v>
      </c>
      <c r="U95" s="4">
        <f t="shared" si="74"/>
        <v>359380</v>
      </c>
      <c r="V95" s="4">
        <f t="shared" si="74"/>
        <v>321300</v>
      </c>
      <c r="W95" s="4">
        <f t="shared" si="74"/>
        <v>266552</v>
      </c>
      <c r="X95" s="4">
        <f t="shared" si="74"/>
        <v>170439.5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75">+G54/G93</f>
        <v>0.5678969772366671</v>
      </c>
      <c r="H96" s="4">
        <f t="shared" si="75"/>
        <v>0.51436098045115963</v>
      </c>
      <c r="I96" s="4">
        <f t="shared" si="75"/>
        <v>0.62665888340614939</v>
      </c>
      <c r="J96" s="4">
        <f t="shared" si="75"/>
        <v>0.75826299577185274</v>
      </c>
      <c r="K96" s="4">
        <f t="shared" si="75"/>
        <v>0.68410004704128091</v>
      </c>
      <c r="L96" s="4">
        <f t="shared" si="75"/>
        <v>0.73055220333105053</v>
      </c>
      <c r="M96" s="4">
        <f t="shared" si="75"/>
        <v>0.61620985831683806</v>
      </c>
      <c r="N96" s="4">
        <f t="shared" si="75"/>
        <v>0.73772706457029469</v>
      </c>
      <c r="O96" s="4">
        <f t="shared" si="75"/>
        <v>0.6362221185383099</v>
      </c>
      <c r="P96" s="4">
        <f t="shared" si="75"/>
        <v>0.58587925692117826</v>
      </c>
      <c r="Q96" s="4">
        <f t="shared" si="75"/>
        <v>0.44787101576030885</v>
      </c>
      <c r="R96" s="4">
        <f t="shared" si="75"/>
        <v>0.22096856682009522</v>
      </c>
      <c r="S96" s="4">
        <f t="shared" si="75"/>
        <v>0.25236770148755666</v>
      </c>
      <c r="T96" s="4">
        <f t="shared" si="75"/>
        <v>0.28163378110634052</v>
      </c>
      <c r="U96" s="4">
        <f t="shared" si="75"/>
        <v>0.2778533743204043</v>
      </c>
      <c r="V96" s="4">
        <f t="shared" si="75"/>
        <v>0.24645921034867879</v>
      </c>
      <c r="W96" s="4">
        <f t="shared" si="75"/>
        <v>0.20078369457304315</v>
      </c>
      <c r="X96" s="4">
        <f t="shared" si="75"/>
        <v>0.12816262353660399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4">
        <f t="shared" ref="I97:X97" si="76">+I55/+I94</f>
        <v>18.400357320017758</v>
      </c>
      <c r="J97" s="4">
        <f t="shared" si="76"/>
        <v>15.556477082558763</v>
      </c>
      <c r="K97" s="4">
        <f t="shared" si="76"/>
        <v>11.489422820285251</v>
      </c>
      <c r="L97" s="4">
        <f t="shared" si="76"/>
        <v>11.726798698099397</v>
      </c>
      <c r="M97" s="4">
        <f t="shared" si="76"/>
        <v>11.029161249228652</v>
      </c>
      <c r="N97" s="4">
        <f t="shared" si="76"/>
        <v>10.481297129184156</v>
      </c>
      <c r="O97" s="4">
        <f t="shared" si="76"/>
        <v>15.657441695350297</v>
      </c>
      <c r="P97" s="4">
        <f t="shared" si="76"/>
        <v>15.181303791218554</v>
      </c>
      <c r="Q97" s="4">
        <f t="shared" si="76"/>
        <v>9.1264994351604543</v>
      </c>
      <c r="R97" s="4">
        <f t="shared" si="76"/>
        <v>10.274623016469938</v>
      </c>
      <c r="S97" s="4">
        <f t="shared" si="76"/>
        <v>7.818564211098983</v>
      </c>
      <c r="T97" s="4">
        <f t="shared" si="76"/>
        <v>8.0950487561956344</v>
      </c>
      <c r="U97" s="4">
        <f t="shared" si="76"/>
        <v>13.63174198938842</v>
      </c>
      <c r="V97" s="4">
        <f t="shared" si="76"/>
        <v>10.366717601399762</v>
      </c>
      <c r="W97" s="4">
        <f t="shared" si="76"/>
        <v>13.709347084367254</v>
      </c>
      <c r="X97" s="4">
        <f t="shared" si="76"/>
        <v>12.21182817970055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3">
        <v>0</v>
      </c>
      <c r="H98" s="43">
        <v>0</v>
      </c>
      <c r="I98" s="43">
        <v>0</v>
      </c>
      <c r="J98" s="43">
        <f>+J50/G94</f>
        <v>0</v>
      </c>
      <c r="K98" s="4">
        <f t="shared" ref="K98:M98" si="77">+J98</f>
        <v>0</v>
      </c>
      <c r="L98" s="4">
        <f t="shared" si="77"/>
        <v>0</v>
      </c>
      <c r="M98" s="4">
        <f t="shared" si="77"/>
        <v>0</v>
      </c>
      <c r="N98" s="43">
        <f>+N50/K94</f>
        <v>0.29975799101109468</v>
      </c>
      <c r="O98" s="4">
        <f t="shared" ref="O98:Q99" si="78">+N98</f>
        <v>0.29975799101109468</v>
      </c>
      <c r="P98" s="4">
        <f t="shared" si="78"/>
        <v>0.29975799101109468</v>
      </c>
      <c r="Q98" s="4">
        <f t="shared" si="78"/>
        <v>0.29975799101109468</v>
      </c>
      <c r="R98" s="43">
        <f>+R50/O94</f>
        <v>0.13790000387882551</v>
      </c>
      <c r="S98" s="4">
        <f t="shared" ref="S98:U99" si="79">+R98</f>
        <v>0.13790000387882551</v>
      </c>
      <c r="T98" s="4">
        <f t="shared" si="79"/>
        <v>0.13790000387882551</v>
      </c>
      <c r="U98" s="4">
        <f t="shared" si="79"/>
        <v>0.13790000387882551</v>
      </c>
      <c r="V98" s="43">
        <f>+V50/S94</f>
        <v>0</v>
      </c>
      <c r="W98" s="4">
        <f>+V98</f>
        <v>0</v>
      </c>
      <c r="X98" s="4">
        <f>+W98</f>
        <v>0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3">
        <v>0</v>
      </c>
      <c r="H99" s="43">
        <v>0</v>
      </c>
      <c r="I99" s="43">
        <v>0</v>
      </c>
      <c r="J99" s="43">
        <f>+K50/K55</f>
        <v>0</v>
      </c>
      <c r="K99" s="43">
        <f>+J99</f>
        <v>0</v>
      </c>
      <c r="L99" s="43">
        <f>+K99</f>
        <v>0</v>
      </c>
      <c r="M99" s="43">
        <v>0</v>
      </c>
      <c r="N99" s="43">
        <f>+O50/O55</f>
        <v>2.3669656105722584E-2</v>
      </c>
      <c r="O99" s="4">
        <f t="shared" si="78"/>
        <v>2.3669656105722584E-2</v>
      </c>
      <c r="P99" s="4">
        <f t="shared" si="78"/>
        <v>2.3669656105722584E-2</v>
      </c>
      <c r="Q99" s="4">
        <f t="shared" si="78"/>
        <v>2.3669656105722584E-2</v>
      </c>
      <c r="R99" s="43">
        <f>+S50/S55</f>
        <v>1.3746904293682624E-2</v>
      </c>
      <c r="S99" s="4">
        <f t="shared" si="79"/>
        <v>1.3746904293682624E-2</v>
      </c>
      <c r="T99" s="4">
        <f t="shared" si="79"/>
        <v>1.3746904293682624E-2</v>
      </c>
      <c r="U99" s="4">
        <f t="shared" si="79"/>
        <v>1.3746904293682624E-2</v>
      </c>
      <c r="V99" s="43">
        <f>+W50/W55</f>
        <v>0</v>
      </c>
      <c r="W99" s="4">
        <f>+V99</f>
        <v>0</v>
      </c>
      <c r="X99" s="4">
        <f>+W99</f>
        <v>0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80">+H50/H54</f>
        <v>0</v>
      </c>
      <c r="I100" s="4">
        <f t="shared" si="80"/>
        <v>0</v>
      </c>
      <c r="J100" s="4">
        <f t="shared" ref="J100:X100" si="81">+J50/J54</f>
        <v>0</v>
      </c>
      <c r="K100" s="4">
        <f t="shared" si="81"/>
        <v>0</v>
      </c>
      <c r="L100" s="4">
        <f t="shared" si="81"/>
        <v>0</v>
      </c>
      <c r="M100" s="4">
        <f t="shared" si="81"/>
        <v>0</v>
      </c>
      <c r="N100" s="4">
        <f t="shared" si="81"/>
        <v>2.2466039707419016E-2</v>
      </c>
      <c r="O100" s="4">
        <f t="shared" si="81"/>
        <v>2.5903614457831323E-2</v>
      </c>
      <c r="P100" s="4">
        <f t="shared" si="81"/>
        <v>2.7741935483870966E-2</v>
      </c>
      <c r="Q100" s="4">
        <f t="shared" si="81"/>
        <v>3.3528265107212477E-2</v>
      </c>
      <c r="R100" s="4">
        <f t="shared" si="81"/>
        <v>2.7118644067796609E-2</v>
      </c>
      <c r="S100" s="4">
        <f t="shared" si="81"/>
        <v>2.3529411764705882E-2</v>
      </c>
      <c r="T100" s="4">
        <f t="shared" si="81"/>
        <v>2.1052631578947371E-2</v>
      </c>
      <c r="U100" s="4">
        <f t="shared" si="81"/>
        <v>2.119205298013245E-2</v>
      </c>
      <c r="V100" s="4">
        <f t="shared" si="81"/>
        <v>0</v>
      </c>
      <c r="W100" s="4">
        <f t="shared" si="81"/>
        <v>0</v>
      </c>
      <c r="X100" s="4">
        <f t="shared" si="81"/>
        <v>0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0.76131155390674099</v>
      </c>
      <c r="H104" s="45">
        <f t="shared" ref="H104:X104" si="82">+H61/H14</f>
        <v>0.6020263673792019</v>
      </c>
      <c r="I104" s="45">
        <f t="shared" si="82"/>
        <v>0.54038720922993921</v>
      </c>
      <c r="J104" s="45">
        <f t="shared" si="82"/>
        <v>0.54906418182942496</v>
      </c>
      <c r="K104" s="45">
        <f t="shared" si="82"/>
        <v>0.54276059948152788</v>
      </c>
      <c r="L104" s="45">
        <f t="shared" si="82"/>
        <v>0.61973505401478179</v>
      </c>
      <c r="M104" s="45">
        <f t="shared" si="82"/>
        <v>0.56362459672501908</v>
      </c>
      <c r="N104" s="45">
        <f t="shared" si="82"/>
        <v>0.50903258882495395</v>
      </c>
      <c r="O104" s="45">
        <f t="shared" si="82"/>
        <v>0.49194754236199506</v>
      </c>
      <c r="P104" s="45">
        <f t="shared" si="82"/>
        <v>0.48110750424508991</v>
      </c>
      <c r="Q104" s="45">
        <f t="shared" si="82"/>
        <v>0.4783863943917056</v>
      </c>
      <c r="R104" s="45">
        <f t="shared" si="82"/>
        <v>0.46596310822539361</v>
      </c>
      <c r="S104" s="45">
        <f t="shared" si="82"/>
        <v>0.40282392961380425</v>
      </c>
      <c r="T104" s="45">
        <f t="shared" si="82"/>
        <v>0.36577850638077408</v>
      </c>
      <c r="U104" s="45">
        <f t="shared" si="82"/>
        <v>0.37361505700652536</v>
      </c>
      <c r="V104" s="45">
        <f t="shared" si="82"/>
        <v>0.24531538971037306</v>
      </c>
      <c r="W104" s="45">
        <f t="shared" si="82"/>
        <v>0.27310902779869556</v>
      </c>
      <c r="X104" s="45">
        <f t="shared" si="82"/>
        <v>0.27798704067407937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0.68953643162191847</v>
      </c>
      <c r="H105" s="45">
        <f t="shared" ref="H105:X105" si="83">+(+H22-H43-G43-F43-E43)/+H14</f>
        <v>0.46937432277144636</v>
      </c>
      <c r="I105" s="45">
        <f t="shared" si="83"/>
        <v>0.49377161240353107</v>
      </c>
      <c r="J105" s="45">
        <f t="shared" si="83"/>
        <v>0.52133833168572596</v>
      </c>
      <c r="K105" s="45">
        <f t="shared" si="83"/>
        <v>0.52560988212002979</v>
      </c>
      <c r="L105" s="45">
        <f t="shared" si="83"/>
        <v>0.52695199361509781</v>
      </c>
      <c r="M105" s="45">
        <f t="shared" si="83"/>
        <v>0.49829035429069796</v>
      </c>
      <c r="N105" s="45">
        <f t="shared" si="83"/>
        <v>0.51866458768395485</v>
      </c>
      <c r="O105" s="45">
        <f t="shared" si="83"/>
        <v>0.51754388013686636</v>
      </c>
      <c r="P105" s="45">
        <f t="shared" si="83"/>
        <v>0.50278017034052447</v>
      </c>
      <c r="Q105" s="45">
        <f t="shared" si="83"/>
        <v>0.50538241608416512</v>
      </c>
      <c r="R105" s="45">
        <f t="shared" si="83"/>
        <v>0.52930446150972832</v>
      </c>
      <c r="S105" s="45">
        <f t="shared" si="83"/>
        <v>0.54546960671807665</v>
      </c>
      <c r="T105" s="45">
        <f t="shared" si="83"/>
        <v>0.54961572958539628</v>
      </c>
      <c r="U105" s="45">
        <f t="shared" si="83"/>
        <v>0.55968226972422241</v>
      </c>
      <c r="V105" s="45">
        <f t="shared" si="83"/>
        <v>0.54653729366123882</v>
      </c>
      <c r="W105" s="45">
        <f t="shared" si="83"/>
        <v>0.57665947882539925</v>
      </c>
      <c r="X105" s="45">
        <f t="shared" si="83"/>
        <v>0.57640987347756645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9.6908103219141659E-2</v>
      </c>
      <c r="H106" s="45">
        <f t="shared" ref="H106:X106" si="84">(+H39+G39+F39+E39)/+H14</f>
        <v>3.1005842024883584E-2</v>
      </c>
      <c r="I106" s="45">
        <f t="shared" si="84"/>
        <v>2.3111379865026857E-2</v>
      </c>
      <c r="J106" s="45">
        <f t="shared" si="84"/>
        <v>3.1295759166250388E-2</v>
      </c>
      <c r="K106" s="45">
        <f t="shared" si="84"/>
        <v>5.187045020447658E-2</v>
      </c>
      <c r="L106" s="45">
        <f t="shared" si="84"/>
        <v>5.1998419462185731E-2</v>
      </c>
      <c r="M106" s="45">
        <f t="shared" si="84"/>
        <v>5.0546107310871884E-2</v>
      </c>
      <c r="N106" s="45">
        <f t="shared" si="84"/>
        <v>3.9087894519252916E-2</v>
      </c>
      <c r="O106" s="45">
        <f t="shared" si="84"/>
        <v>2.2482512174329391E-2</v>
      </c>
      <c r="P106" s="45">
        <f t="shared" si="84"/>
        <v>2.1681167461246077E-2</v>
      </c>
      <c r="Q106" s="45">
        <f t="shared" si="84"/>
        <v>3.9663098738676406E-2</v>
      </c>
      <c r="R106" s="45">
        <f t="shared" si="84"/>
        <v>4.4163782780176436E-2</v>
      </c>
      <c r="S106" s="45">
        <f t="shared" si="84"/>
        <v>3.3906423960407543E-2</v>
      </c>
      <c r="T106" s="45">
        <f t="shared" si="84"/>
        <v>3.2746833793586137E-2</v>
      </c>
      <c r="U106" s="45">
        <f t="shared" si="84"/>
        <v>3.0154056400129411E-2</v>
      </c>
      <c r="V106" s="45">
        <f t="shared" si="84"/>
        <v>5.4480314486507878E-2</v>
      </c>
      <c r="W106" s="45">
        <f t="shared" si="84"/>
        <v>6.9277028379865296E-2</v>
      </c>
      <c r="X106" s="45">
        <f t="shared" si="84"/>
        <v>6.6737214650710155E-2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 t="shared" ref="G107:X107" si="85">+G95/+G18</f>
        <v>0.60945954951352777</v>
      </c>
      <c r="H107" s="45">
        <f t="shared" si="85"/>
        <v>0.50577138704318936</v>
      </c>
      <c r="I107" s="45">
        <f t="shared" si="85"/>
        <v>0.65717972126894564</v>
      </c>
      <c r="J107" s="45">
        <f t="shared" si="85"/>
        <v>0.91119925900713661</v>
      </c>
      <c r="K107" s="45">
        <f t="shared" si="85"/>
        <v>0.86039912436886801</v>
      </c>
      <c r="L107" s="45">
        <f t="shared" si="85"/>
        <v>0.92899359652541902</v>
      </c>
      <c r="M107" s="45">
        <f t="shared" si="85"/>
        <v>0.7020303936469412</v>
      </c>
      <c r="N107" s="45">
        <f t="shared" si="85"/>
        <v>0.92214163517266945</v>
      </c>
      <c r="O107" s="45">
        <f t="shared" si="85"/>
        <v>0.75178646404448135</v>
      </c>
      <c r="P107" s="45">
        <f t="shared" si="85"/>
        <v>0.65030135041237414</v>
      </c>
      <c r="Q107" s="45">
        <f t="shared" si="85"/>
        <v>0.52572422831001397</v>
      </c>
      <c r="R107" s="45">
        <f t="shared" si="85"/>
        <v>0.27954709468707234</v>
      </c>
      <c r="S107" s="45">
        <f t="shared" si="85"/>
        <v>0.34483272927946068</v>
      </c>
      <c r="T107" s="45">
        <f t="shared" si="85"/>
        <v>0.38132663214882029</v>
      </c>
      <c r="U107" s="45">
        <f t="shared" si="85"/>
        <v>0.37082667789320756</v>
      </c>
      <c r="V107" s="45">
        <f t="shared" si="85"/>
        <v>0.31456947158594706</v>
      </c>
      <c r="W107" s="45">
        <f t="shared" si="85"/>
        <v>0.28662799825368457</v>
      </c>
      <c r="X107" s="45">
        <f t="shared" si="85"/>
        <v>0.18260735874244402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0.64391209033627927</v>
      </c>
      <c r="H108" s="45">
        <f t="shared" ref="H108:X108" si="86">+H22/H18</f>
        <v>0.98330045681063127</v>
      </c>
      <c r="I108" s="45">
        <f t="shared" si="86"/>
        <v>1.0487040695839227</v>
      </c>
      <c r="J108" s="45">
        <f t="shared" si="86"/>
        <v>1.2016929008643056</v>
      </c>
      <c r="K108" s="45">
        <f t="shared" si="86"/>
        <v>1.2577094945250729</v>
      </c>
      <c r="L108" s="45">
        <f t="shared" si="86"/>
        <v>1.2716320507823375</v>
      </c>
      <c r="M108" s="45">
        <f t="shared" si="86"/>
        <v>1.139271603937853</v>
      </c>
      <c r="N108" s="45">
        <f t="shared" si="86"/>
        <v>1.2499766911897034</v>
      </c>
      <c r="O108" s="45">
        <f t="shared" si="86"/>
        <v>1.1816415087417504</v>
      </c>
      <c r="P108" s="45">
        <f t="shared" si="86"/>
        <v>1.1099579695477477</v>
      </c>
      <c r="Q108" s="45">
        <f t="shared" si="86"/>
        <v>1.173829539778414</v>
      </c>
      <c r="R108" s="45">
        <f t="shared" si="86"/>
        <v>1.2650989175065324</v>
      </c>
      <c r="S108" s="45">
        <f t="shared" si="86"/>
        <v>1.3663901016131541</v>
      </c>
      <c r="T108" s="45">
        <f t="shared" si="86"/>
        <v>1.3539804445718719</v>
      </c>
      <c r="U108" s="45">
        <f t="shared" si="86"/>
        <v>1.3346128287993793</v>
      </c>
      <c r="V108" s="45">
        <f t="shared" si="86"/>
        <v>1.2763551061488394</v>
      </c>
      <c r="W108" s="45">
        <f t="shared" si="86"/>
        <v>1.4275461902580546</v>
      </c>
      <c r="X108" s="45">
        <f t="shared" si="86"/>
        <v>1.4248097745150348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0.13434335793623786</v>
      </c>
      <c r="H109" s="45">
        <f t="shared" ref="H109:X109" si="87">+(+H37+G37+F37+E37)/+H14</f>
        <v>0.11811264299147188</v>
      </c>
      <c r="I109" s="45">
        <f t="shared" si="87"/>
        <v>0.12827238754482057</v>
      </c>
      <c r="J109" s="45">
        <f t="shared" si="87"/>
        <v>0.12185279067756151</v>
      </c>
      <c r="K109" s="45">
        <f t="shared" si="87"/>
        <v>0.1094111638131582</v>
      </c>
      <c r="L109" s="45">
        <f t="shared" si="87"/>
        <v>0.11830453002531606</v>
      </c>
      <c r="M109" s="45">
        <f t="shared" si="87"/>
        <v>9.8891986976943569E-2</v>
      </c>
      <c r="N109" s="45">
        <f t="shared" si="87"/>
        <v>9.0908915694231499E-2</v>
      </c>
      <c r="O109" s="45">
        <f t="shared" si="87"/>
        <v>8.4205019210332702E-2</v>
      </c>
      <c r="P109" s="45">
        <f t="shared" si="87"/>
        <v>7.12226530078056E-2</v>
      </c>
      <c r="Q109" s="45">
        <f t="shared" si="87"/>
        <v>6.7437061004107193E-2</v>
      </c>
      <c r="R109" s="45">
        <f t="shared" si="87"/>
        <v>8.7431528295046301E-2</v>
      </c>
      <c r="S109" s="45">
        <f t="shared" si="87"/>
        <v>0.13015710657738885</v>
      </c>
      <c r="T109" s="45">
        <f t="shared" si="87"/>
        <v>0.15727883796877387</v>
      </c>
      <c r="U109" s="45">
        <f t="shared" si="87"/>
        <v>0.16117713303761955</v>
      </c>
      <c r="V109" s="45">
        <f t="shared" si="87"/>
        <v>0.17670769786586152</v>
      </c>
      <c r="W109" s="45">
        <f t="shared" si="87"/>
        <v>0.12807351088541566</v>
      </c>
      <c r="X109" s="45">
        <f t="shared" si="87"/>
        <v>0.10898072891237542</v>
      </c>
    </row>
    <row r="111" spans="2:24" x14ac:dyDescent="0.25">
      <c r="B111" s="1" t="s">
        <v>157</v>
      </c>
      <c r="C111" s="1"/>
      <c r="G111" s="46">
        <f t="shared" ref="G111:J111" si="88">+G104+G105+G106+G107+G109</f>
        <v>2.2915589961975669</v>
      </c>
      <c r="H111" s="46">
        <f t="shared" si="88"/>
        <v>1.7262905622101929</v>
      </c>
      <c r="I111" s="46">
        <f t="shared" si="88"/>
        <v>1.8427223103122634</v>
      </c>
      <c r="J111" s="46">
        <f t="shared" si="88"/>
        <v>2.1347503223660995</v>
      </c>
      <c r="K111" s="46">
        <f t="shared" ref="K111:X111" si="89">+K104+K105+K106+K107+K109</f>
        <v>2.0900512199880605</v>
      </c>
      <c r="L111" s="46">
        <f t="shared" ref="L111" si="90">+L104+L105+L106+L107+L109</f>
        <v>2.2459835936428005</v>
      </c>
      <c r="M111" s="46">
        <f t="shared" si="89"/>
        <v>1.9133834389504738</v>
      </c>
      <c r="N111" s="46">
        <f t="shared" si="89"/>
        <v>2.0798356218950627</v>
      </c>
      <c r="O111" s="46">
        <f t="shared" si="89"/>
        <v>1.8679654179280047</v>
      </c>
      <c r="P111" s="46">
        <f t="shared" si="89"/>
        <v>1.72709284546704</v>
      </c>
      <c r="Q111" s="46">
        <f t="shared" si="89"/>
        <v>1.6165931985286683</v>
      </c>
      <c r="R111" s="46">
        <f t="shared" si="89"/>
        <v>1.4064099754974171</v>
      </c>
      <c r="S111" s="46">
        <f t="shared" si="89"/>
        <v>1.457189796149138</v>
      </c>
      <c r="T111" s="46">
        <f t="shared" si="89"/>
        <v>1.4867465398773507</v>
      </c>
      <c r="U111" s="46">
        <f t="shared" si="89"/>
        <v>1.4954551940617042</v>
      </c>
      <c r="V111" s="46">
        <f t="shared" si="89"/>
        <v>1.3376101673099283</v>
      </c>
      <c r="W111" s="46">
        <f t="shared" si="89"/>
        <v>1.3337470441430603</v>
      </c>
      <c r="X111" s="46">
        <f t="shared" si="89"/>
        <v>1.2127222164571754</v>
      </c>
    </row>
    <row r="112" spans="2:24" ht="30" x14ac:dyDescent="0.25">
      <c r="B112" s="47" t="s">
        <v>158</v>
      </c>
      <c r="C112" s="1"/>
      <c r="G112" s="46">
        <f t="shared" ref="G112:J112" si="91">+G104+G105+G106+G108+G109</f>
        <v>2.3260115370203183</v>
      </c>
      <c r="H112" s="46">
        <f t="shared" si="91"/>
        <v>2.2038196319776353</v>
      </c>
      <c r="I112" s="46">
        <f t="shared" si="91"/>
        <v>2.2342466586272405</v>
      </c>
      <c r="J112" s="46">
        <f t="shared" si="91"/>
        <v>2.4252439642232688</v>
      </c>
      <c r="K112" s="46">
        <f t="shared" ref="K112:X112" si="92">+K104+K105+K106+K108+K109</f>
        <v>2.4873615901442654</v>
      </c>
      <c r="L112" s="46">
        <f t="shared" ref="L112" si="93">+L104+L105+L106+L108+L109</f>
        <v>2.5886220478997188</v>
      </c>
      <c r="M112" s="46">
        <f t="shared" si="92"/>
        <v>2.3506246492413858</v>
      </c>
      <c r="N112" s="46">
        <f t="shared" si="92"/>
        <v>2.4076706779120967</v>
      </c>
      <c r="O112" s="46">
        <f t="shared" si="92"/>
        <v>2.2978204626252738</v>
      </c>
      <c r="P112" s="46">
        <f t="shared" si="92"/>
        <v>2.1867494646024142</v>
      </c>
      <c r="Q112" s="46">
        <f t="shared" si="92"/>
        <v>2.2646985099970682</v>
      </c>
      <c r="R112" s="46">
        <f t="shared" si="92"/>
        <v>2.3919617983168768</v>
      </c>
      <c r="S112" s="46">
        <f t="shared" si="92"/>
        <v>2.4787471684828315</v>
      </c>
      <c r="T112" s="46">
        <f t="shared" si="92"/>
        <v>2.4594003523004022</v>
      </c>
      <c r="U112" s="46">
        <f t="shared" si="92"/>
        <v>2.4592413449678761</v>
      </c>
      <c r="V112" s="46">
        <f t="shared" si="92"/>
        <v>2.2993958018728207</v>
      </c>
      <c r="W112" s="46">
        <f t="shared" si="92"/>
        <v>2.4746652361474304</v>
      </c>
      <c r="X112" s="46">
        <f t="shared" si="92"/>
        <v>2.4549246322297664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4">(+G14-G17)/G48/1000</f>
        <v>79.729320817228057</v>
      </c>
      <c r="H116" s="4">
        <f t="shared" si="94"/>
        <v>81.536388735505241</v>
      </c>
      <c r="I116" s="4">
        <f t="shared" si="94"/>
        <v>71.406214977075919</v>
      </c>
      <c r="J116" s="4">
        <f t="shared" si="94"/>
        <v>67.048353631032924</v>
      </c>
      <c r="K116" s="4">
        <f t="shared" si="94"/>
        <v>71.043237150586108</v>
      </c>
      <c r="L116" s="4">
        <f t="shared" si="94"/>
        <v>76.510414788097393</v>
      </c>
      <c r="M116" s="4">
        <f t="shared" si="94"/>
        <v>78.028693693693697</v>
      </c>
      <c r="N116" s="4">
        <f t="shared" si="94"/>
        <v>77.605850585058505</v>
      </c>
      <c r="O116" s="4">
        <f t="shared" si="94"/>
        <v>80.139693969396944</v>
      </c>
      <c r="P116" s="4">
        <f t="shared" si="94"/>
        <v>81.618046804680475</v>
      </c>
      <c r="Q116" s="4">
        <f t="shared" si="94"/>
        <v>83.777877697841731</v>
      </c>
      <c r="R116" s="4">
        <f t="shared" si="94"/>
        <v>75.82970588235294</v>
      </c>
      <c r="S116" s="4">
        <f t="shared" si="94"/>
        <v>69.299243697478985</v>
      </c>
      <c r="T116" s="4">
        <f t="shared" si="94"/>
        <v>66.555126050420171</v>
      </c>
      <c r="U116" s="4">
        <f t="shared" si="94"/>
        <v>67.225924369747901</v>
      </c>
      <c r="V116" s="4">
        <f t="shared" si="94"/>
        <v>75.319705882352935</v>
      </c>
      <c r="W116" s="4">
        <f t="shared" si="94"/>
        <v>72.555286773312531</v>
      </c>
      <c r="X116" s="4">
        <f t="shared" si="94"/>
        <v>74.120405774483032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5">-G16/+G48/1000</f>
        <v>-28.153064605190501</v>
      </c>
      <c r="H117" s="4">
        <f t="shared" si="95"/>
        <v>-29.23848702374379</v>
      </c>
      <c r="I117" s="4">
        <f t="shared" si="95"/>
        <v>-21.139633214467654</v>
      </c>
      <c r="J117" s="4">
        <f t="shared" si="95"/>
        <v>-18.476815516463688</v>
      </c>
      <c r="K117" s="4">
        <f t="shared" si="95"/>
        <v>-20.246573489630297</v>
      </c>
      <c r="L117" s="4">
        <f t="shared" si="95"/>
        <v>-25.028809738503156</v>
      </c>
      <c r="M117" s="4">
        <f t="shared" si="95"/>
        <v>-26.098333333333336</v>
      </c>
      <c r="N117" s="4">
        <f t="shared" si="95"/>
        <v>-25.716741674167416</v>
      </c>
      <c r="O117" s="4">
        <f t="shared" si="95"/>
        <v>-27.956660666066607</v>
      </c>
      <c r="P117" s="4">
        <f t="shared" si="95"/>
        <v>-28.706120612061209</v>
      </c>
      <c r="Q117" s="4">
        <f t="shared" si="95"/>
        <v>-26.506924460431655</v>
      </c>
      <c r="R117" s="4">
        <f t="shared" si="95"/>
        <v>-22.42844537815126</v>
      </c>
      <c r="S117" s="4">
        <f t="shared" si="95"/>
        <v>-15.409621848739494</v>
      </c>
      <c r="T117" s="4">
        <f t="shared" si="95"/>
        <v>-12.584327731092436</v>
      </c>
      <c r="U117" s="4">
        <f t="shared" si="95"/>
        <v>-12.880714285714287</v>
      </c>
      <c r="V117" s="4">
        <f t="shared" si="95"/>
        <v>-20.543907563025208</v>
      </c>
      <c r="W117" s="4">
        <f t="shared" si="95"/>
        <v>-20.758252048380804</v>
      </c>
      <c r="X117" s="4">
        <f t="shared" si="95"/>
        <v>-22.233203277409288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51.576256212037556</v>
      </c>
      <c r="H119" s="4">
        <f t="shared" ref="H119:X119" si="96">+H116+H117</f>
        <v>52.297901711761455</v>
      </c>
      <c r="I119" s="4">
        <f t="shared" si="96"/>
        <v>50.266581762608268</v>
      </c>
      <c r="J119" s="4">
        <f t="shared" si="96"/>
        <v>48.571538114569236</v>
      </c>
      <c r="K119" s="4">
        <f t="shared" si="96"/>
        <v>50.796663660955815</v>
      </c>
      <c r="L119" s="4">
        <f t="shared" si="96"/>
        <v>51.481605049594236</v>
      </c>
      <c r="M119" s="4">
        <f t="shared" si="96"/>
        <v>51.930360360360361</v>
      </c>
      <c r="N119" s="4">
        <f t="shared" si="96"/>
        <v>51.889108910891089</v>
      </c>
      <c r="O119" s="4">
        <f t="shared" si="96"/>
        <v>52.183033303330333</v>
      </c>
      <c r="P119" s="4">
        <f t="shared" si="96"/>
        <v>52.911926192619262</v>
      </c>
      <c r="Q119" s="4">
        <f t="shared" si="96"/>
        <v>57.270953237410076</v>
      </c>
      <c r="R119" s="4">
        <f t="shared" si="96"/>
        <v>53.40126050420168</v>
      </c>
      <c r="S119" s="4">
        <f t="shared" si="96"/>
        <v>53.889621848739495</v>
      </c>
      <c r="T119" s="4">
        <f t="shared" si="96"/>
        <v>53.970798319327734</v>
      </c>
      <c r="U119" s="4">
        <f t="shared" si="96"/>
        <v>54.34521008403361</v>
      </c>
      <c r="V119" s="4">
        <f t="shared" si="96"/>
        <v>54.775798319327727</v>
      </c>
      <c r="W119" s="4">
        <f t="shared" si="96"/>
        <v>51.797034724931727</v>
      </c>
      <c r="X119" s="4">
        <f t="shared" si="96"/>
        <v>51.887202497073744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7">+G50</f>
        <v>0</v>
      </c>
      <c r="H121" s="4">
        <f t="shared" si="97"/>
        <v>0</v>
      </c>
      <c r="I121" s="4">
        <f t="shared" si="97"/>
        <v>0</v>
      </c>
      <c r="J121" s="4">
        <f t="shared" si="97"/>
        <v>0</v>
      </c>
      <c r="K121" s="4">
        <f t="shared" si="97"/>
        <v>0</v>
      </c>
      <c r="L121" s="4">
        <f t="shared" si="97"/>
        <v>0</v>
      </c>
      <c r="M121" s="4">
        <f t="shared" si="97"/>
        <v>0</v>
      </c>
      <c r="N121" s="4">
        <f t="shared" si="97"/>
        <v>0.86</v>
      </c>
      <c r="O121" s="4">
        <f t="shared" si="97"/>
        <v>0.86</v>
      </c>
      <c r="P121" s="4">
        <f t="shared" si="97"/>
        <v>0.86</v>
      </c>
      <c r="Q121" s="4">
        <f t="shared" si="97"/>
        <v>0.86</v>
      </c>
      <c r="R121" s="4">
        <f t="shared" si="97"/>
        <v>0.32</v>
      </c>
      <c r="S121" s="4">
        <f t="shared" si="97"/>
        <v>0.32</v>
      </c>
      <c r="T121" s="4">
        <f t="shared" si="97"/>
        <v>0.32</v>
      </c>
      <c r="U121" s="4">
        <f t="shared" si="97"/>
        <v>0.32</v>
      </c>
      <c r="V121" s="4">
        <f t="shared" si="97"/>
        <v>0</v>
      </c>
      <c r="W121" s="4">
        <f t="shared" si="97"/>
        <v>0</v>
      </c>
      <c r="X121" s="4">
        <f t="shared" si="97"/>
        <v>0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 t="shared" ref="G122:X122" si="98">+G124-G121-G116</f>
        <v>-50.439320817228058</v>
      </c>
      <c r="H122" s="4">
        <f t="shared" si="98"/>
        <v>-54.636388735505243</v>
      </c>
      <c r="I122" s="4">
        <f t="shared" si="98"/>
        <v>-39.906214977075919</v>
      </c>
      <c r="J122" s="4">
        <f t="shared" si="98"/>
        <v>-30.218353631032926</v>
      </c>
      <c r="K122" s="4">
        <f t="shared" si="98"/>
        <v>-36.293237150586108</v>
      </c>
      <c r="L122" s="4">
        <f t="shared" si="98"/>
        <v>-38.900414788097393</v>
      </c>
      <c r="M122" s="4">
        <f t="shared" si="98"/>
        <v>-46.028693693693697</v>
      </c>
      <c r="N122" s="4">
        <f t="shared" si="98"/>
        <v>-40.185850585058503</v>
      </c>
      <c r="O122" s="4">
        <f t="shared" si="98"/>
        <v>-47.799693969396941</v>
      </c>
      <c r="P122" s="4">
        <f t="shared" si="98"/>
        <v>-51.478046804680474</v>
      </c>
      <c r="Q122" s="4">
        <f t="shared" si="98"/>
        <v>-58.987877697841732</v>
      </c>
      <c r="R122" s="4">
        <f t="shared" si="98"/>
        <v>-64.349705882352936</v>
      </c>
      <c r="S122" s="4">
        <f t="shared" si="98"/>
        <v>-56.019243697478984</v>
      </c>
      <c r="T122" s="4">
        <f t="shared" si="98"/>
        <v>-51.675126050420175</v>
      </c>
      <c r="U122" s="4">
        <f t="shared" si="98"/>
        <v>-52.4459243697479</v>
      </c>
      <c r="V122" s="4">
        <f t="shared" si="98"/>
        <v>-61.819705882352935</v>
      </c>
      <c r="W122" s="4">
        <f t="shared" si="98"/>
        <v>-62.155286773312532</v>
      </c>
      <c r="X122" s="4">
        <f t="shared" si="98"/>
        <v>-67.470405774483027</v>
      </c>
    </row>
    <row r="123" spans="2:24" x14ac:dyDescent="0.25">
      <c r="G123" s="5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>
        <f t="shared" ref="G124:X124" si="99">+G54</f>
        <v>29.29</v>
      </c>
      <c r="H124" s="4">
        <f t="shared" si="99"/>
        <v>26.9</v>
      </c>
      <c r="I124" s="4">
        <f t="shared" si="99"/>
        <v>31.5</v>
      </c>
      <c r="J124" s="4">
        <f t="shared" si="99"/>
        <v>36.83</v>
      </c>
      <c r="K124" s="4">
        <f t="shared" si="99"/>
        <v>34.75</v>
      </c>
      <c r="L124" s="4">
        <f t="shared" si="99"/>
        <v>37.61</v>
      </c>
      <c r="M124" s="4">
        <f t="shared" si="99"/>
        <v>32</v>
      </c>
      <c r="N124" s="4">
        <f t="shared" si="99"/>
        <v>38.28</v>
      </c>
      <c r="O124" s="4">
        <f t="shared" si="99"/>
        <v>33.200000000000003</v>
      </c>
      <c r="P124" s="4">
        <f t="shared" si="99"/>
        <v>31</v>
      </c>
      <c r="Q124" s="4">
        <f t="shared" si="99"/>
        <v>25.65</v>
      </c>
      <c r="R124" s="4">
        <f t="shared" si="99"/>
        <v>11.8</v>
      </c>
      <c r="S124" s="4">
        <f t="shared" si="99"/>
        <v>13.6</v>
      </c>
      <c r="T124" s="4">
        <f t="shared" si="99"/>
        <v>15.2</v>
      </c>
      <c r="U124" s="4">
        <f t="shared" si="99"/>
        <v>15.1</v>
      </c>
      <c r="V124" s="4">
        <f t="shared" si="99"/>
        <v>13.5</v>
      </c>
      <c r="W124" s="4">
        <f t="shared" si="99"/>
        <v>10.4</v>
      </c>
      <c r="X124" s="4">
        <f t="shared" si="99"/>
        <v>6.65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22505</v>
      </c>
      <c r="E128" s="3">
        <f>+L37</f>
        <v>42542</v>
      </c>
      <c r="F128" s="3">
        <f>+P37</f>
        <v>21456</v>
      </c>
      <c r="G128" s="3">
        <f>+T37</f>
        <v>83581</v>
      </c>
      <c r="H128" s="3">
        <f>SUM(D128:G128)</f>
        <v>170084</v>
      </c>
      <c r="I128" s="3">
        <f>COUNT(D128:G128)</f>
        <v>4</v>
      </c>
      <c r="J128" s="3">
        <f>+H128/I128</f>
        <v>42521</v>
      </c>
      <c r="K128" s="20">
        <f>+J128/J133</f>
        <v>0.16288268502394948</v>
      </c>
    </row>
    <row r="129" spans="2:11" x14ac:dyDescent="0.25">
      <c r="C129" s="1" t="s">
        <v>48</v>
      </c>
      <c r="D129" s="3">
        <f>+I37</f>
        <v>81046</v>
      </c>
      <c r="E129" s="3">
        <f>+M37</f>
        <v>53806</v>
      </c>
      <c r="F129" s="3">
        <f>+Q37</f>
        <v>53698</v>
      </c>
      <c r="G129" s="3">
        <f>+U37</f>
        <v>67135</v>
      </c>
      <c r="H129" s="3">
        <f>SUM(D129:G129)</f>
        <v>255685</v>
      </c>
      <c r="I129" s="3">
        <f>COUNT(D129:G129)</f>
        <v>4</v>
      </c>
      <c r="J129" s="3">
        <f>+H129/I129</f>
        <v>63921.25</v>
      </c>
      <c r="K129" s="20">
        <f>+J129/J133</f>
        <v>0.2448593596125945</v>
      </c>
    </row>
    <row r="130" spans="2:11" x14ac:dyDescent="0.25">
      <c r="C130" s="1" t="s">
        <v>49</v>
      </c>
      <c r="D130" s="3">
        <f>+J37</f>
        <v>66677</v>
      </c>
      <c r="E130" s="3">
        <f>+N37</f>
        <v>41268</v>
      </c>
      <c r="F130" s="3">
        <f>+R37</f>
        <v>81155</v>
      </c>
      <c r="G130" s="3">
        <f>+V37</f>
        <v>127340</v>
      </c>
      <c r="H130" s="3">
        <f>SUM(D130:G130)</f>
        <v>316440</v>
      </c>
      <c r="I130" s="3">
        <f>COUNT(D130:G130)</f>
        <v>4</v>
      </c>
      <c r="J130" s="3">
        <f>+H130/I130</f>
        <v>79110</v>
      </c>
      <c r="K130" s="20">
        <f>+J130/J133</f>
        <v>0.30304200776662454</v>
      </c>
    </row>
    <row r="131" spans="2:11" x14ac:dyDescent="0.25">
      <c r="C131" s="1" t="s">
        <v>50</v>
      </c>
      <c r="D131" s="3">
        <f>+K37</f>
        <v>51054</v>
      </c>
      <c r="E131" s="3">
        <f>+O37</f>
        <v>42648</v>
      </c>
      <c r="F131" s="3">
        <f>+S37</f>
        <v>132800</v>
      </c>
      <c r="G131" s="3"/>
      <c r="H131" s="3">
        <f>SUM(D131:G131)</f>
        <v>226502</v>
      </c>
      <c r="I131" s="3">
        <f>COUNT(D131:G131)</f>
        <v>3</v>
      </c>
      <c r="J131" s="3">
        <f>+H131/I131</f>
        <v>75500.666666666672</v>
      </c>
      <c r="K131" s="20">
        <f>+J131/J133</f>
        <v>0.28921594759683139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221282</v>
      </c>
      <c r="E133" s="3">
        <f>SUM(E128:E132)</f>
        <v>180264</v>
      </c>
      <c r="F133" s="3">
        <f>SUM(F128:F132)</f>
        <v>289109</v>
      </c>
      <c r="G133" s="3">
        <f>SUM(G128:G132)</f>
        <v>278056</v>
      </c>
      <c r="H133" s="3">
        <f>SUM(D133:G133)</f>
        <v>968711</v>
      </c>
      <c r="I133" s="21"/>
      <c r="J133" s="3">
        <f>SUM(J128:J132)</f>
        <v>261052.91666666669</v>
      </c>
      <c r="K133" s="20">
        <f>SUM(K128:K132)</f>
        <v>1</v>
      </c>
    </row>
    <row r="134" spans="2:11" x14ac:dyDescent="0.25">
      <c r="H134" s="3">
        <f>SUM(H128:H131)</f>
        <v>968711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5857</v>
      </c>
      <c r="E138" s="3">
        <f>+L38</f>
        <v>24734</v>
      </c>
      <c r="F138" s="3">
        <f>+P38</f>
        <v>3322</v>
      </c>
      <c r="G138" s="3">
        <f>+T38</f>
        <v>67631</v>
      </c>
      <c r="H138" s="3">
        <f>SUM(D138:G138)</f>
        <v>101544</v>
      </c>
      <c r="I138" s="3">
        <f>COUNT(D138:G138)</f>
        <v>4</v>
      </c>
      <c r="J138" s="3">
        <f>+H138/I138</f>
        <v>25386</v>
      </c>
      <c r="K138" s="20">
        <f>+J138/J143</f>
        <v>0.15352794963441407</v>
      </c>
    </row>
    <row r="139" spans="2:11" x14ac:dyDescent="0.25">
      <c r="C139" s="1" t="s">
        <v>48</v>
      </c>
      <c r="D139" s="3">
        <f>+I38</f>
        <v>72613</v>
      </c>
      <c r="E139" s="3">
        <f>+M38</f>
        <v>42019</v>
      </c>
      <c r="F139" s="3">
        <f>+Q38</f>
        <v>-3190</v>
      </c>
      <c r="G139" s="3">
        <f>+U38</f>
        <v>15152</v>
      </c>
      <c r="H139" s="3">
        <f>SUM(D139:G139)</f>
        <v>126594</v>
      </c>
      <c r="I139" s="3">
        <f>COUNT(D139:G139)</f>
        <v>4</v>
      </c>
      <c r="J139" s="3">
        <f>+H139/I139</f>
        <v>31648.5</v>
      </c>
      <c r="K139" s="20">
        <f>+J139/J143</f>
        <v>0.19140192681024004</v>
      </c>
    </row>
    <row r="140" spans="2:11" x14ac:dyDescent="0.25">
      <c r="C140" s="1" t="s">
        <v>49</v>
      </c>
      <c r="D140" s="3">
        <f>+J38</f>
        <v>42063</v>
      </c>
      <c r="E140" s="3">
        <f>+N38</f>
        <v>44953</v>
      </c>
      <c r="F140" s="3">
        <f>+R38</f>
        <v>77899</v>
      </c>
      <c r="G140" s="3">
        <f>+V38</f>
        <v>65639</v>
      </c>
      <c r="H140" s="3">
        <f>SUM(D140:G140)</f>
        <v>230554</v>
      </c>
      <c r="I140" s="3">
        <f>COUNT(D140:G140)</f>
        <v>4</v>
      </c>
      <c r="J140" s="3">
        <f>+H140/I140</f>
        <v>57638.5</v>
      </c>
      <c r="K140" s="20">
        <f>+J140/J143</f>
        <v>0.34858271192795931</v>
      </c>
    </row>
    <row r="141" spans="2:11" x14ac:dyDescent="0.25">
      <c r="C141" s="1" t="s">
        <v>50</v>
      </c>
      <c r="D141" s="3">
        <f>+K38</f>
        <v>-4158</v>
      </c>
      <c r="E141" s="3">
        <f>+O38</f>
        <v>20428</v>
      </c>
      <c r="F141" s="3">
        <f>+S38</f>
        <v>135764</v>
      </c>
      <c r="G141" s="3"/>
      <c r="H141" s="3">
        <f>SUM(D141:G141)</f>
        <v>152034</v>
      </c>
      <c r="I141" s="3">
        <f>COUNT(D141:G141)</f>
        <v>3</v>
      </c>
      <c r="J141" s="3">
        <f>+H141/I141</f>
        <v>50678</v>
      </c>
      <c r="K141" s="20">
        <f>+J141/J143</f>
        <v>0.30648741162738657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116375</v>
      </c>
      <c r="E143" s="3">
        <f>SUM(E138:E142)</f>
        <v>132134</v>
      </c>
      <c r="F143" s="3">
        <f>SUM(F138:F142)</f>
        <v>213795</v>
      </c>
      <c r="G143" s="3">
        <f>SUM(G138:G142)</f>
        <v>148422</v>
      </c>
      <c r="H143" s="3">
        <f>SUM(D143:G143)</f>
        <v>610726</v>
      </c>
      <c r="I143" s="21"/>
      <c r="J143" s="3">
        <f>SUM(J138:J142)</f>
        <v>165351</v>
      </c>
      <c r="K143" s="20">
        <f>SUM(K138:K142)</f>
        <v>1</v>
      </c>
    </row>
    <row r="144" spans="2:11" x14ac:dyDescent="0.25">
      <c r="H144" s="3">
        <f>SUM(H138:H141)</f>
        <v>610726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-1018</v>
      </c>
      <c r="E148" s="3">
        <f>+L40</f>
        <v>1895</v>
      </c>
      <c r="F148" s="3">
        <f>+P40</f>
        <v>2580</v>
      </c>
      <c r="G148" s="3">
        <f>+T40</f>
        <v>-11928</v>
      </c>
      <c r="H148" s="3">
        <f>SUM(D148:G148)</f>
        <v>-8471</v>
      </c>
      <c r="I148" s="3">
        <f>COUNT(D148:G148)</f>
        <v>4</v>
      </c>
      <c r="J148" s="3">
        <f>+H148/I148</f>
        <v>-2117.75</v>
      </c>
      <c r="K148" s="20">
        <f>+J148/J153</f>
        <v>8.118209668505641E-2</v>
      </c>
    </row>
    <row r="149" spans="2:11" x14ac:dyDescent="0.25">
      <c r="C149" s="1" t="s">
        <v>48</v>
      </c>
      <c r="D149" s="3">
        <f>+I40</f>
        <v>-3500</v>
      </c>
      <c r="E149" s="3">
        <f>+M40</f>
        <v>4799</v>
      </c>
      <c r="F149" s="3">
        <f>+Q40</f>
        <v>-5952</v>
      </c>
      <c r="G149" s="3">
        <f>+U40</f>
        <v>-35027</v>
      </c>
      <c r="H149" s="3">
        <f>SUM(D149:G149)</f>
        <v>-39680</v>
      </c>
      <c r="I149" s="3">
        <f>COUNT(D149:G149)</f>
        <v>4</v>
      </c>
      <c r="J149" s="3">
        <f>+H149/I149</f>
        <v>-9920</v>
      </c>
      <c r="K149" s="20">
        <f>+J149/J153</f>
        <v>0.38027453623693047</v>
      </c>
    </row>
    <row r="150" spans="2:11" x14ac:dyDescent="0.25">
      <c r="C150" s="1" t="s">
        <v>49</v>
      </c>
      <c r="D150" s="3">
        <f>+J40</f>
        <v>-2910</v>
      </c>
      <c r="E150" s="3">
        <f>+N40</f>
        <v>27801</v>
      </c>
      <c r="F150" s="3">
        <f>+R40</f>
        <v>1661</v>
      </c>
      <c r="G150" s="3">
        <f>+V40</f>
        <v>-43660</v>
      </c>
      <c r="H150" s="3">
        <f>SUM(D150:G150)</f>
        <v>-17108</v>
      </c>
      <c r="I150" s="3">
        <f>COUNT(D150:G150)</f>
        <v>4</v>
      </c>
      <c r="J150" s="3">
        <f>+H150/I150</f>
        <v>-4277</v>
      </c>
      <c r="K150" s="20">
        <f>+J150/J153</f>
        <v>0.1639550596255395</v>
      </c>
    </row>
    <row r="151" spans="2:11" x14ac:dyDescent="0.25">
      <c r="C151" s="1" t="s">
        <v>50</v>
      </c>
      <c r="D151" s="3">
        <f>+K40</f>
        <v>-11514</v>
      </c>
      <c r="E151" s="3">
        <f>+O40</f>
        <v>-9548</v>
      </c>
      <c r="F151" s="3">
        <f>+S40</f>
        <v>-8253</v>
      </c>
      <c r="G151" s="3"/>
      <c r="H151" s="3">
        <f>SUM(D151:G151)</f>
        <v>-29315</v>
      </c>
      <c r="I151" s="3">
        <f>COUNT(D151:G151)</f>
        <v>3</v>
      </c>
      <c r="J151" s="3">
        <f>+H151/I151</f>
        <v>-9771.6666666666661</v>
      </c>
      <c r="K151" s="20">
        <f>+J151/J153</f>
        <v>0.37458830745247368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-18942</v>
      </c>
      <c r="E153" s="3">
        <f>SUM(E148:E152)</f>
        <v>24947</v>
      </c>
      <c r="F153" s="3">
        <f>SUM(F148:F152)</f>
        <v>-9964</v>
      </c>
      <c r="G153" s="3">
        <f>SUM(G148:G152)</f>
        <v>-90615</v>
      </c>
      <c r="H153" s="3">
        <f>SUM(D153:G153)</f>
        <v>-94574</v>
      </c>
      <c r="I153" s="21"/>
      <c r="J153" s="3">
        <f>SUM(J148:J152)</f>
        <v>-26086.416666666664</v>
      </c>
      <c r="K153" s="20">
        <f>SUM(K148:K152)</f>
        <v>1</v>
      </c>
    </row>
    <row r="154" spans="2:11" x14ac:dyDescent="0.25">
      <c r="H154" s="3">
        <f>SUM(H148:H151)</f>
        <v>-94574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3706</v>
      </c>
      <c r="E158" s="3">
        <f>+L42</f>
        <v>4434</v>
      </c>
      <c r="F158" s="3">
        <f>+P42</f>
        <v>4985</v>
      </c>
      <c r="G158" s="3">
        <f>+T42</f>
        <v>2145</v>
      </c>
      <c r="H158" s="3">
        <f>SUM(D158:G158)</f>
        <v>15270</v>
      </c>
      <c r="I158" s="3">
        <f>COUNT(D158:G158)</f>
        <v>4</v>
      </c>
      <c r="J158" s="3">
        <f>+H158/I158</f>
        <v>3817.5</v>
      </c>
      <c r="K158" s="20">
        <f>+J158/J163</f>
        <v>0.28261030500444179</v>
      </c>
    </row>
    <row r="159" spans="2:11" x14ac:dyDescent="0.25">
      <c r="C159" s="1" t="s">
        <v>48</v>
      </c>
      <c r="D159" s="3">
        <f>+I42</f>
        <v>1748</v>
      </c>
      <c r="E159" s="3">
        <f>+M42</f>
        <v>6213</v>
      </c>
      <c r="F159" s="3">
        <f>+Q42</f>
        <v>10971</v>
      </c>
      <c r="G159" s="3">
        <f>+U42</f>
        <v>6990</v>
      </c>
      <c r="H159" s="3">
        <f>SUM(D159:G159)</f>
        <v>25922</v>
      </c>
      <c r="I159" s="3">
        <f>COUNT(D159:G159)</f>
        <v>4</v>
      </c>
      <c r="J159" s="3">
        <f>+H159/I159</f>
        <v>6480.5</v>
      </c>
      <c r="K159" s="20">
        <f>+J159/J163</f>
        <v>0.47975273911755995</v>
      </c>
    </row>
    <row r="160" spans="2:11" x14ac:dyDescent="0.25">
      <c r="C160" s="1" t="s">
        <v>49</v>
      </c>
      <c r="D160" s="3">
        <f>+J42</f>
        <v>4581</v>
      </c>
      <c r="E160" s="3">
        <f>+N42</f>
        <v>4607</v>
      </c>
      <c r="F160" s="3">
        <f>+R42</f>
        <v>544</v>
      </c>
      <c r="G160" s="3">
        <f>+V42</f>
        <v>7844</v>
      </c>
      <c r="H160" s="3">
        <f>SUM(D160:G160)</f>
        <v>17576</v>
      </c>
      <c r="I160" s="3">
        <f>COUNT(D160:G160)</f>
        <v>4</v>
      </c>
      <c r="J160" s="3">
        <f>+H160/I160</f>
        <v>4394</v>
      </c>
      <c r="K160" s="20">
        <f>+J160/J163</f>
        <v>0.32528871779686114</v>
      </c>
    </row>
    <row r="161" spans="2:11" x14ac:dyDescent="0.25">
      <c r="C161" s="1" t="s">
        <v>50</v>
      </c>
      <c r="D161" s="3">
        <f>+K42</f>
        <v>12296</v>
      </c>
      <c r="E161" s="3">
        <f>+O42</f>
        <v>6261</v>
      </c>
      <c r="F161" s="3">
        <f>+S42</f>
        <v>-22109</v>
      </c>
      <c r="G161" s="3"/>
      <c r="H161" s="3">
        <f>SUM(D161:G161)</f>
        <v>-3552</v>
      </c>
      <c r="I161" s="3">
        <f>COUNT(D161:G161)</f>
        <v>3</v>
      </c>
      <c r="J161" s="3">
        <f>+H161/I161</f>
        <v>-1184</v>
      </c>
      <c r="K161" s="20">
        <f>+J161/J163</f>
        <v>-8.7651761918862897E-2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22331</v>
      </c>
      <c r="E163" s="3">
        <f>SUM(E158:E162)</f>
        <v>21515</v>
      </c>
      <c r="F163" s="3">
        <f>SUM(F158:F162)</f>
        <v>-5609</v>
      </c>
      <c r="G163" s="3">
        <f>SUM(G158:G162)</f>
        <v>16979</v>
      </c>
      <c r="H163" s="3">
        <f>SUM(D163:G163)</f>
        <v>55216</v>
      </c>
      <c r="I163" s="21"/>
      <c r="J163" s="3">
        <f>SUM(J158:J162)</f>
        <v>13508</v>
      </c>
      <c r="K163" s="20">
        <f>SUM(K158:K162)</f>
        <v>0.99999999999999989</v>
      </c>
    </row>
    <row r="164" spans="2:11" x14ac:dyDescent="0.25">
      <c r="H164" s="3">
        <f>SUM(H158:H161)</f>
        <v>55216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11924</v>
      </c>
      <c r="E168" s="3">
        <f>+L44</f>
        <v>15269</v>
      </c>
      <c r="F168" s="3">
        <f>+P44</f>
        <v>15729</v>
      </c>
      <c r="G168" s="3">
        <f>+T44</f>
        <v>1877</v>
      </c>
      <c r="H168" s="3">
        <f>SUM(D168:G168)</f>
        <v>44799</v>
      </c>
      <c r="I168" s="3">
        <f>COUNT(D168:G168)</f>
        <v>4</v>
      </c>
      <c r="J168" s="3">
        <f>+H168/I168</f>
        <v>11199.75</v>
      </c>
      <c r="K168" s="20">
        <f>+J168/J173</f>
        <v>0.19973101101220112</v>
      </c>
    </row>
    <row r="169" spans="2:11" x14ac:dyDescent="0.25">
      <c r="C169" s="1" t="s">
        <v>48</v>
      </c>
      <c r="D169" s="3">
        <f>+I44</f>
        <v>3185</v>
      </c>
      <c r="E169" s="3">
        <f>+M44</f>
        <v>10373</v>
      </c>
      <c r="F169" s="3">
        <f>+Q44</f>
        <v>39965</v>
      </c>
      <c r="G169" s="3">
        <f>+U44</f>
        <v>9966</v>
      </c>
      <c r="H169" s="3">
        <f>SUM(D169:G169)</f>
        <v>63489</v>
      </c>
      <c r="I169" s="3">
        <f>COUNT(D169:G169)</f>
        <v>4</v>
      </c>
      <c r="J169" s="3">
        <f>+H169/I169</f>
        <v>15872.25</v>
      </c>
      <c r="K169" s="20">
        <f>+J169/J173</f>
        <v>0.28305815214968272</v>
      </c>
    </row>
    <row r="170" spans="2:11" x14ac:dyDescent="0.25">
      <c r="C170" s="1" t="s">
        <v>49</v>
      </c>
      <c r="D170" s="3">
        <f>+J44</f>
        <v>17123</v>
      </c>
      <c r="E170" s="3">
        <f>+N44</f>
        <v>19509</v>
      </c>
      <c r="F170" s="3">
        <f>+R44</f>
        <v>4373</v>
      </c>
      <c r="G170" s="3">
        <f>+V43</f>
        <v>10197</v>
      </c>
      <c r="H170" s="3">
        <f>SUM(D170:G170)</f>
        <v>51202</v>
      </c>
      <c r="I170" s="3">
        <f>COUNT(D170:G170)</f>
        <v>4</v>
      </c>
      <c r="J170" s="3">
        <f>+H170/I170</f>
        <v>12800.5</v>
      </c>
      <c r="K170" s="20">
        <f>+J170/J173</f>
        <v>0.22827802463998575</v>
      </c>
    </row>
    <row r="171" spans="2:11" x14ac:dyDescent="0.25">
      <c r="C171" s="1" t="s">
        <v>50</v>
      </c>
      <c r="D171" s="3">
        <f>+K44</f>
        <v>31402</v>
      </c>
      <c r="E171" s="3">
        <f>+O44</f>
        <v>6411</v>
      </c>
      <c r="F171" s="3">
        <f>+S44</f>
        <v>10792</v>
      </c>
      <c r="G171" s="3"/>
      <c r="H171" s="3">
        <f>SUM(D171:G171)</f>
        <v>48605</v>
      </c>
      <c r="I171" s="3">
        <f>COUNT(D171:G171)</f>
        <v>3</v>
      </c>
      <c r="J171" s="3">
        <f>+H171/I171</f>
        <v>16201.666666666666</v>
      </c>
      <c r="K171" s="20">
        <f>+J171/J173</f>
        <v>0.28893281219813044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63634</v>
      </c>
      <c r="E173" s="3">
        <f>SUM(E168:E172)</f>
        <v>51562</v>
      </c>
      <c r="F173" s="3">
        <f>SUM(F168:F172)</f>
        <v>70859</v>
      </c>
      <c r="G173" s="3">
        <f>SUM(G168:G172)</f>
        <v>22040</v>
      </c>
      <c r="H173" s="3">
        <f>SUM(D173:G173)</f>
        <v>208095</v>
      </c>
      <c r="I173" s="21"/>
      <c r="J173" s="3">
        <f>SUM(J168:J172)</f>
        <v>56074.166666666664</v>
      </c>
      <c r="K173" s="20">
        <f>SUM(K168:K172)</f>
        <v>1</v>
      </c>
    </row>
    <row r="174" spans="2:11" x14ac:dyDescent="0.25">
      <c r="H174" s="3">
        <f>SUM(H168:H171)</f>
        <v>208095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100">SUM(E178:E190)</f>
        <v>91</v>
      </c>
      <c r="F192" s="1">
        <f t="shared" si="100"/>
        <v>91</v>
      </c>
      <c r="G192" s="1">
        <f t="shared" si="100"/>
        <v>92</v>
      </c>
      <c r="H192" s="1">
        <f t="shared" si="100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opLeftCell="A16" workbookViewId="0">
      <selection activeCell="G35" sqref="G35"/>
    </sheetView>
  </sheetViews>
  <sheetFormatPr defaultRowHeight="15" x14ac:dyDescent="0.25"/>
  <cols>
    <col min="1" max="1" width="4.28515625" customWidth="1"/>
    <col min="2" max="2" width="35" customWidth="1"/>
    <col min="20" max="20" width="13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+Polnord!G93</f>
        <v>51.576256212037549</v>
      </c>
      <c r="D3" s="48">
        <f>+Polnord!H93</f>
        <v>52.297901711761455</v>
      </c>
      <c r="E3" s="48">
        <f>+Polnord!I93</f>
        <v>50.266581762608254</v>
      </c>
      <c r="F3" s="48">
        <f>+Polnord!J93</f>
        <v>48.571538114569236</v>
      </c>
      <c r="G3" s="48">
        <f>+Polnord!K93</f>
        <v>50.796663660955822</v>
      </c>
      <c r="H3" s="48">
        <f>+Polnord!L93</f>
        <v>51.481605049594229</v>
      </c>
      <c r="I3" s="48">
        <f>+Polnord!M93</f>
        <v>51.930360360360361</v>
      </c>
      <c r="J3" s="48">
        <f>+Polnord!N93</f>
        <v>51.889108910891089</v>
      </c>
      <c r="K3" s="48">
        <f>+Polnord!O93</f>
        <v>52.183033303330333</v>
      </c>
      <c r="L3" s="48">
        <f>+Polnord!P93</f>
        <v>52.911926192619262</v>
      </c>
      <c r="M3" s="48">
        <f>+Polnord!Q93</f>
        <v>57.270953237410076</v>
      </c>
      <c r="N3" s="48">
        <f>+Polnord!R93</f>
        <v>53.40126050420168</v>
      </c>
      <c r="O3" s="48">
        <f>+Polnord!S93</f>
        <v>53.889621848739495</v>
      </c>
      <c r="P3" s="48">
        <f>+Polnord!T93</f>
        <v>53.970798319327734</v>
      </c>
      <c r="Q3" s="4">
        <f>+Polnord!U93</f>
        <v>54.34521008403361</v>
      </c>
      <c r="R3" s="4">
        <f>+Polnord!V93</f>
        <v>54.775798319327734</v>
      </c>
      <c r="S3" s="4">
        <f>+Polnord!W93</f>
        <v>51.79703472493172</v>
      </c>
      <c r="T3" s="4">
        <f>+Polnord!X93</f>
        <v>51.887202497073737</v>
      </c>
    </row>
    <row r="4" spans="2:20" x14ac:dyDescent="0.25">
      <c r="B4" s="1" t="s">
        <v>138</v>
      </c>
      <c r="C4" s="48">
        <f>-Polnord!G117</f>
        <v>28.153064605190501</v>
      </c>
      <c r="D4" s="48">
        <f>-Polnord!H117</f>
        <v>29.23848702374379</v>
      </c>
      <c r="E4" s="48">
        <f>-Polnord!I117</f>
        <v>21.139633214467654</v>
      </c>
      <c r="F4" s="48">
        <f>-Polnord!J117</f>
        <v>18.476815516463688</v>
      </c>
      <c r="G4" s="48">
        <f>-Polnord!K117</f>
        <v>20.246573489630297</v>
      </c>
      <c r="H4" s="48">
        <f>-Polnord!L117</f>
        <v>25.028809738503156</v>
      </c>
      <c r="I4" s="48">
        <f>-Polnord!M117</f>
        <v>26.098333333333336</v>
      </c>
      <c r="J4" s="48">
        <f>-Polnord!N117</f>
        <v>25.716741674167416</v>
      </c>
      <c r="K4" s="48">
        <f>-Polnord!O117</f>
        <v>27.956660666066607</v>
      </c>
      <c r="L4" s="48">
        <f>-Polnord!P117</f>
        <v>28.706120612061209</v>
      </c>
      <c r="M4" s="48">
        <f>-Polnord!Q117</f>
        <v>26.506924460431655</v>
      </c>
      <c r="N4" s="48">
        <f>-Polnord!R117</f>
        <v>22.42844537815126</v>
      </c>
      <c r="O4" s="48">
        <f>-Polnord!S117</f>
        <v>15.409621848739494</v>
      </c>
      <c r="P4" s="48">
        <f>-Polnord!T117</f>
        <v>12.584327731092436</v>
      </c>
      <c r="Q4" s="4">
        <f>-Polnord!U117</f>
        <v>12.880714285714287</v>
      </c>
      <c r="R4" s="4">
        <f>-Polnord!V117</f>
        <v>20.543907563025208</v>
      </c>
      <c r="S4" s="4">
        <f>-Polnord!W117</f>
        <v>20.758252048380804</v>
      </c>
      <c r="T4" s="4">
        <f>-Polnord!X117</f>
        <v>22.233203277409288</v>
      </c>
    </row>
    <row r="5" spans="2:20" x14ac:dyDescent="0.25">
      <c r="B5" s="1" t="s">
        <v>160</v>
      </c>
      <c r="C5" s="48">
        <f>+Polnord!G121</f>
        <v>0</v>
      </c>
      <c r="D5" s="48">
        <f>+Polnord!H121</f>
        <v>0</v>
      </c>
      <c r="E5" s="48">
        <f>+Polnord!I121</f>
        <v>0</v>
      </c>
      <c r="F5" s="48">
        <f>+Polnord!J121</f>
        <v>0</v>
      </c>
      <c r="G5" s="48">
        <f>+Polnord!K121</f>
        <v>0</v>
      </c>
      <c r="H5" s="48">
        <f>+Polnord!L121</f>
        <v>0</v>
      </c>
      <c r="I5" s="48">
        <f>+Polnord!M121</f>
        <v>0</v>
      </c>
      <c r="J5" s="48">
        <f>+Polnord!N121</f>
        <v>0.86</v>
      </c>
      <c r="K5" s="48">
        <f>+Polnord!O121</f>
        <v>0.86</v>
      </c>
      <c r="L5" s="48">
        <f>+Polnord!P121</f>
        <v>0.86</v>
      </c>
      <c r="M5" s="48">
        <f>+Polnord!Q121</f>
        <v>0.86</v>
      </c>
      <c r="N5" s="48">
        <f>+Polnord!R121</f>
        <v>0.32</v>
      </c>
      <c r="O5" s="48">
        <f>+Polnord!S121</f>
        <v>0.32</v>
      </c>
      <c r="P5" s="48">
        <f>+Polnord!T121</f>
        <v>0.32</v>
      </c>
      <c r="Q5" s="4">
        <f>+Polnord!U121</f>
        <v>0.32</v>
      </c>
      <c r="R5" s="4">
        <f>+Polnord!V121</f>
        <v>0</v>
      </c>
      <c r="S5" s="4">
        <f>+Polnord!W121</f>
        <v>0</v>
      </c>
      <c r="T5" s="4">
        <f>+Polnord!X121</f>
        <v>0</v>
      </c>
    </row>
    <row r="6" spans="2:20" x14ac:dyDescent="0.25">
      <c r="B6" s="1" t="s">
        <v>86</v>
      </c>
      <c r="C6" s="48">
        <f>+Polnord!G122</f>
        <v>-50.439320817228058</v>
      </c>
      <c r="D6" s="48">
        <f>+Polnord!H122</f>
        <v>-54.636388735505243</v>
      </c>
      <c r="E6" s="48">
        <f>+Polnord!I122</f>
        <v>-39.906214977075919</v>
      </c>
      <c r="F6" s="48">
        <f>+Polnord!J122</f>
        <v>-30.218353631032926</v>
      </c>
      <c r="G6" s="48">
        <f>+Polnord!K122</f>
        <v>-36.293237150586108</v>
      </c>
      <c r="H6" s="48">
        <f>+Polnord!L122</f>
        <v>-38.900414788097393</v>
      </c>
      <c r="I6" s="48">
        <f>+Polnord!M122</f>
        <v>-46.028693693693697</v>
      </c>
      <c r="J6" s="48">
        <f>+Polnord!N122</f>
        <v>-40.185850585058503</v>
      </c>
      <c r="K6" s="48">
        <f>+Polnord!O122</f>
        <v>-47.799693969396941</v>
      </c>
      <c r="L6" s="48">
        <f>+Polnord!P122</f>
        <v>-51.478046804680474</v>
      </c>
      <c r="M6" s="48">
        <f>+Polnord!Q122</f>
        <v>-58.987877697841732</v>
      </c>
      <c r="N6" s="48">
        <f>+Polnord!R122</f>
        <v>-64.349705882352936</v>
      </c>
      <c r="O6" s="48">
        <f>+Polnord!S122</f>
        <v>-56.019243697478984</v>
      </c>
      <c r="P6" s="48">
        <f>+Polnord!T122</f>
        <v>-51.675126050420175</v>
      </c>
      <c r="Q6" s="4">
        <f>+Polnord!U122</f>
        <v>-52.4459243697479</v>
      </c>
      <c r="R6" s="4">
        <f>+Polnord!V122</f>
        <v>-61.819705882352935</v>
      </c>
      <c r="S6" s="4">
        <f>+Polnord!W122</f>
        <v>-62.155286773312532</v>
      </c>
      <c r="T6" s="4">
        <f>+Polnord!X122</f>
        <v>-67.470405774483027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29.29</v>
      </c>
      <c r="D8" s="4">
        <f t="shared" si="0"/>
        <v>26.9</v>
      </c>
      <c r="E8" s="4">
        <f t="shared" si="0"/>
        <v>31.499999999999986</v>
      </c>
      <c r="F8" s="4">
        <f t="shared" si="0"/>
        <v>36.83</v>
      </c>
      <c r="G8" s="4">
        <f t="shared" si="0"/>
        <v>34.750000000000014</v>
      </c>
      <c r="H8" s="4">
        <f t="shared" si="0"/>
        <v>37.61</v>
      </c>
      <c r="I8" s="4">
        <f t="shared" si="0"/>
        <v>32</v>
      </c>
      <c r="J8" s="4">
        <f t="shared" si="0"/>
        <v>38.28</v>
      </c>
      <c r="K8" s="4">
        <f t="shared" si="0"/>
        <v>33.200000000000003</v>
      </c>
      <c r="L8" s="4">
        <f t="shared" si="0"/>
        <v>31</v>
      </c>
      <c r="M8" s="4">
        <f t="shared" si="0"/>
        <v>25.65</v>
      </c>
      <c r="N8" s="4">
        <f t="shared" si="0"/>
        <v>11.799999999999997</v>
      </c>
      <c r="O8" s="4">
        <f t="shared" si="0"/>
        <v>13.599999999999994</v>
      </c>
      <c r="P8" s="4">
        <f t="shared" si="0"/>
        <v>15.199999999999989</v>
      </c>
      <c r="Q8" s="4">
        <f t="shared" si="0"/>
        <v>15.099999999999994</v>
      </c>
      <c r="R8" s="4">
        <f t="shared" si="0"/>
        <v>13.5</v>
      </c>
      <c r="S8" s="4">
        <f t="shared" si="0"/>
        <v>10.399999999999999</v>
      </c>
      <c r="T8" s="4">
        <f t="shared" si="0"/>
        <v>6.6500000000000057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+Polnord!G54</f>
        <v>29.29</v>
      </c>
      <c r="D10" s="4">
        <f>+Polnord!H54</f>
        <v>26.9</v>
      </c>
      <c r="E10" s="4">
        <f>+Polnord!I54</f>
        <v>31.5</v>
      </c>
      <c r="F10" s="4">
        <f>+Polnord!J54</f>
        <v>36.83</v>
      </c>
      <c r="G10" s="4">
        <f>+Polnord!K54</f>
        <v>34.75</v>
      </c>
      <c r="H10" s="4">
        <f>+Polnord!L54</f>
        <v>37.61</v>
      </c>
      <c r="I10" s="4">
        <f>+Polnord!M54</f>
        <v>32</v>
      </c>
      <c r="J10" s="4">
        <f>+Polnord!N54</f>
        <v>38.28</v>
      </c>
      <c r="K10" s="4">
        <f>+Polnord!O54</f>
        <v>33.200000000000003</v>
      </c>
      <c r="L10" s="4">
        <f>+Polnord!P54</f>
        <v>31</v>
      </c>
      <c r="M10" s="4">
        <f>+Polnord!Q54</f>
        <v>25.65</v>
      </c>
      <c r="N10" s="4">
        <f>+Polnord!R54</f>
        <v>11.8</v>
      </c>
      <c r="O10" s="4">
        <f>+Polnord!S54</f>
        <v>13.6</v>
      </c>
      <c r="P10" s="4">
        <f>+Polnord!T54</f>
        <v>15.2</v>
      </c>
      <c r="Q10" s="4">
        <f>+Polnord!U54</f>
        <v>15.1</v>
      </c>
      <c r="R10" s="4">
        <f>+Polnord!V54</f>
        <v>13.5</v>
      </c>
      <c r="S10" s="4">
        <f>+Polnord!W54</f>
        <v>10.4</v>
      </c>
      <c r="T10" s="4">
        <f>+Polnord!X54</f>
        <v>6.65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0</v>
      </c>
      <c r="D13" s="48">
        <f t="shared" si="1"/>
        <v>0</v>
      </c>
      <c r="E13" s="48">
        <f t="shared" si="1"/>
        <v>0</v>
      </c>
      <c r="F13" s="48">
        <f t="shared" si="1"/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48">
        <f t="shared" si="1"/>
        <v>0.86</v>
      </c>
      <c r="K13" s="48">
        <f t="shared" si="1"/>
        <v>0.86</v>
      </c>
      <c r="L13" s="48">
        <f t="shared" si="1"/>
        <v>0.86</v>
      </c>
      <c r="M13" s="48">
        <f t="shared" si="1"/>
        <v>0.86</v>
      </c>
      <c r="N13" s="48">
        <f t="shared" si="1"/>
        <v>0.32</v>
      </c>
      <c r="O13" s="48">
        <f t="shared" si="1"/>
        <v>0.32</v>
      </c>
      <c r="P13" s="48">
        <f t="shared" si="1"/>
        <v>0.32</v>
      </c>
      <c r="Q13" s="48">
        <f t="shared" si="1"/>
        <v>0.32</v>
      </c>
      <c r="R13" s="48">
        <f t="shared" si="1"/>
        <v>0</v>
      </c>
      <c r="S13" s="48">
        <f t="shared" si="1"/>
        <v>0</v>
      </c>
      <c r="T13" s="48">
        <f t="shared" si="1"/>
        <v>0</v>
      </c>
    </row>
    <row r="14" spans="2:20" x14ac:dyDescent="0.25">
      <c r="B14" s="28" t="s">
        <v>167</v>
      </c>
      <c r="C14" s="48">
        <f t="shared" ref="C14:T14" si="2">+C8</f>
        <v>29.29</v>
      </c>
      <c r="D14" s="48">
        <f t="shared" si="2"/>
        <v>26.9</v>
      </c>
      <c r="E14" s="48">
        <f t="shared" si="2"/>
        <v>31.499999999999986</v>
      </c>
      <c r="F14" s="48">
        <f t="shared" si="2"/>
        <v>36.83</v>
      </c>
      <c r="G14" s="48">
        <f t="shared" si="2"/>
        <v>34.750000000000014</v>
      </c>
      <c r="H14" s="48">
        <f t="shared" si="2"/>
        <v>37.61</v>
      </c>
      <c r="I14" s="48">
        <f t="shared" si="2"/>
        <v>32</v>
      </c>
      <c r="J14" s="48">
        <f t="shared" si="2"/>
        <v>38.28</v>
      </c>
      <c r="K14" s="48">
        <f t="shared" si="2"/>
        <v>33.200000000000003</v>
      </c>
      <c r="L14" s="48">
        <f t="shared" si="2"/>
        <v>31</v>
      </c>
      <c r="M14" s="48">
        <f t="shared" si="2"/>
        <v>25.65</v>
      </c>
      <c r="N14" s="48">
        <f t="shared" si="2"/>
        <v>11.799999999999997</v>
      </c>
      <c r="O14" s="48">
        <f t="shared" si="2"/>
        <v>13.599999999999994</v>
      </c>
      <c r="P14" s="48">
        <f t="shared" si="2"/>
        <v>15.199999999999989</v>
      </c>
      <c r="Q14" s="48">
        <f t="shared" si="2"/>
        <v>15.099999999999994</v>
      </c>
      <c r="R14" s="48">
        <f t="shared" si="2"/>
        <v>13.5</v>
      </c>
      <c r="S14" s="48">
        <f t="shared" si="2"/>
        <v>10.399999999999999</v>
      </c>
      <c r="T14" s="48">
        <f t="shared" si="2"/>
        <v>6.6500000000000057</v>
      </c>
    </row>
    <row r="15" spans="2:20" x14ac:dyDescent="0.25">
      <c r="B15" s="1" t="s">
        <v>166</v>
      </c>
      <c r="C15" s="48">
        <f>+C3</f>
        <v>51.576256212037549</v>
      </c>
      <c r="D15" s="48">
        <f t="shared" ref="D15:T15" si="3">+D3</f>
        <v>52.297901711761455</v>
      </c>
      <c r="E15" s="48">
        <f t="shared" si="3"/>
        <v>50.266581762608254</v>
      </c>
      <c r="F15" s="48">
        <f t="shared" si="3"/>
        <v>48.571538114569236</v>
      </c>
      <c r="G15" s="48">
        <f t="shared" si="3"/>
        <v>50.796663660955822</v>
      </c>
      <c r="H15" s="48">
        <f t="shared" si="3"/>
        <v>51.481605049594229</v>
      </c>
      <c r="I15" s="48">
        <f t="shared" si="3"/>
        <v>51.930360360360361</v>
      </c>
      <c r="J15" s="48">
        <f t="shared" si="3"/>
        <v>51.889108910891089</v>
      </c>
      <c r="K15" s="48">
        <f t="shared" si="3"/>
        <v>52.183033303330333</v>
      </c>
      <c r="L15" s="48">
        <f t="shared" si="3"/>
        <v>52.911926192619262</v>
      </c>
      <c r="M15" s="48">
        <f t="shared" si="3"/>
        <v>57.270953237410076</v>
      </c>
      <c r="N15" s="48">
        <f t="shared" si="3"/>
        <v>53.40126050420168</v>
      </c>
      <c r="O15" s="48">
        <f t="shared" si="3"/>
        <v>53.889621848739495</v>
      </c>
      <c r="P15" s="48">
        <f t="shared" si="3"/>
        <v>53.970798319327734</v>
      </c>
      <c r="Q15" s="48">
        <f t="shared" si="3"/>
        <v>54.34521008403361</v>
      </c>
      <c r="R15" s="48">
        <f t="shared" si="3"/>
        <v>54.775798319327734</v>
      </c>
      <c r="S15" s="48">
        <f t="shared" si="3"/>
        <v>51.79703472493172</v>
      </c>
      <c r="T15" s="48">
        <f t="shared" si="3"/>
        <v>51.887202497073737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Polnord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2014-06-23T08:33:07Z</dcterms:modified>
</cp:coreProperties>
</file>