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3\Desktop\Roj\wykresy\wskaznikowa\"/>
    </mc:Choice>
  </mc:AlternateContent>
  <bookViews>
    <workbookView xWindow="0" yWindow="0" windowWidth="24000" windowHeight="9735"/>
  </bookViews>
  <sheets>
    <sheet name="Novita" sheetId="1" r:id="rId1"/>
    <sheet name="SCA" sheetId="1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5" i="1" l="1"/>
  <c r="X54" i="1"/>
  <c r="W55" i="1"/>
  <c r="W54" i="1"/>
  <c r="V55" i="1"/>
  <c r="V54" i="1"/>
  <c r="U55" i="1"/>
  <c r="U54" i="1"/>
  <c r="T55" i="1"/>
  <c r="T54" i="1"/>
  <c r="S55" i="1"/>
  <c r="S54" i="1"/>
  <c r="R55" i="1"/>
  <c r="R54" i="1"/>
  <c r="Q55" i="1"/>
  <c r="Q54" i="1"/>
  <c r="P55" i="1"/>
  <c r="P54" i="1"/>
  <c r="O55" i="1"/>
  <c r="O54" i="1"/>
  <c r="N55" i="1"/>
  <c r="N54" i="1"/>
  <c r="M55" i="1"/>
  <c r="M54" i="1"/>
  <c r="L55" i="1"/>
  <c r="L54" i="1"/>
  <c r="K55" i="1"/>
  <c r="K54" i="1"/>
  <c r="J55" i="1"/>
  <c r="J54" i="1"/>
  <c r="I55" i="1"/>
  <c r="I54" i="1"/>
  <c r="H54" i="1"/>
  <c r="G54" i="1"/>
  <c r="M31" i="1"/>
  <c r="Q31" i="1"/>
  <c r="U31" i="1"/>
  <c r="U12" i="1"/>
  <c r="V12" i="1"/>
  <c r="W12" i="1"/>
  <c r="X12" i="1"/>
  <c r="M21" i="1"/>
  <c r="N21" i="1"/>
  <c r="O21" i="1"/>
  <c r="P21" i="1"/>
  <c r="G22" i="1"/>
  <c r="W44" i="1"/>
  <c r="W43" i="1"/>
  <c r="W41" i="1"/>
  <c r="W39" i="1"/>
  <c r="W37" i="1"/>
  <c r="V44" i="1"/>
  <c r="V43" i="1"/>
  <c r="V41" i="1"/>
  <c r="V39" i="1"/>
  <c r="V37" i="1"/>
  <c r="U44" i="1"/>
  <c r="U43" i="1"/>
  <c r="U41" i="1"/>
  <c r="U39" i="1"/>
  <c r="U37" i="1"/>
  <c r="S44" i="1"/>
  <c r="S43" i="1"/>
  <c r="S41" i="1"/>
  <c r="S39" i="1"/>
  <c r="S37" i="1"/>
  <c r="R44" i="1"/>
  <c r="R43" i="1"/>
  <c r="R41" i="1"/>
  <c r="R39" i="1"/>
  <c r="R37" i="1"/>
  <c r="Q44" i="1"/>
  <c r="Q43" i="1"/>
  <c r="Q41" i="1"/>
  <c r="Q39" i="1"/>
  <c r="Q37" i="1"/>
  <c r="O44" i="1"/>
  <c r="O43" i="1"/>
  <c r="O41" i="1"/>
  <c r="O39" i="1"/>
  <c r="O37" i="1"/>
  <c r="N44" i="1"/>
  <c r="N43" i="1"/>
  <c r="N41" i="1"/>
  <c r="N39" i="1"/>
  <c r="N37" i="1"/>
  <c r="M44" i="1"/>
  <c r="M43" i="1"/>
  <c r="M41" i="1"/>
  <c r="M39" i="1"/>
  <c r="M37" i="1"/>
  <c r="K44" i="1"/>
  <c r="K43" i="1"/>
  <c r="K41" i="1"/>
  <c r="K39" i="1"/>
  <c r="K37" i="1"/>
  <c r="J44" i="1"/>
  <c r="J43" i="1"/>
  <c r="J41" i="1"/>
  <c r="J39" i="1"/>
  <c r="J37" i="1"/>
  <c r="I44" i="1"/>
  <c r="I43" i="1"/>
  <c r="I41" i="1"/>
  <c r="I39" i="1"/>
  <c r="I37" i="1"/>
  <c r="J99" i="1" l="1"/>
  <c r="K99" i="1" s="1"/>
  <c r="L99" i="1" s="1"/>
  <c r="G95" i="1"/>
  <c r="I100" i="1" l="1"/>
  <c r="H100" i="1"/>
  <c r="I31" i="1"/>
  <c r="H21" i="1"/>
  <c r="H18" i="1"/>
  <c r="H12" i="1"/>
  <c r="H9" i="1"/>
  <c r="G21" i="1"/>
  <c r="G18" i="1"/>
  <c r="G107" i="1" s="1"/>
  <c r="G12" i="1"/>
  <c r="G9" i="1"/>
  <c r="L42" i="1"/>
  <c r="H25" i="1" l="1"/>
  <c r="H27" i="1" s="1"/>
  <c r="G25" i="1"/>
  <c r="G27" i="1" s="1"/>
  <c r="G169" i="1"/>
  <c r="G168" i="1"/>
  <c r="F168" i="1"/>
  <c r="E168" i="1"/>
  <c r="D16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X94" i="1"/>
  <c r="T94" i="1"/>
  <c r="P94" i="1"/>
  <c r="L94" i="1"/>
  <c r="W94" i="1" l="1"/>
  <c r="G170" i="1"/>
  <c r="G173" i="1" s="1"/>
  <c r="F170" i="1"/>
  <c r="F169" i="1"/>
  <c r="U94" i="1"/>
  <c r="V94" i="1"/>
  <c r="F171" i="1"/>
  <c r="S94" i="1"/>
  <c r="E169" i="1"/>
  <c r="Q94" i="1"/>
  <c r="R94" i="1"/>
  <c r="E171" i="1"/>
  <c r="O94" i="1"/>
  <c r="E170" i="1"/>
  <c r="D170" i="1"/>
  <c r="N94" i="1"/>
  <c r="D169" i="1"/>
  <c r="M94" i="1"/>
  <c r="D171" i="1"/>
  <c r="K94" i="1"/>
  <c r="K97" i="1" s="1"/>
  <c r="I168" i="1"/>
  <c r="H168" i="1"/>
  <c r="I40" i="1"/>
  <c r="X121" i="1"/>
  <c r="T5" i="11" s="1"/>
  <c r="T13" i="11" s="1"/>
  <c r="W121" i="1"/>
  <c r="S5" i="11" s="1"/>
  <c r="S13" i="11" s="1"/>
  <c r="V121" i="1"/>
  <c r="R5" i="11" s="1"/>
  <c r="R13" i="11" s="1"/>
  <c r="U121" i="1"/>
  <c r="Q5" i="11" s="1"/>
  <c r="Q13" i="11" s="1"/>
  <c r="T121" i="1"/>
  <c r="P5" i="11" s="1"/>
  <c r="P13" i="11" s="1"/>
  <c r="S121" i="1"/>
  <c r="O5" i="11" s="1"/>
  <c r="O13" i="11" s="1"/>
  <c r="R121" i="1"/>
  <c r="N5" i="11" s="1"/>
  <c r="N13" i="11" s="1"/>
  <c r="Q121" i="1"/>
  <c r="M5" i="11" s="1"/>
  <c r="M13" i="11" s="1"/>
  <c r="P121" i="1"/>
  <c r="L5" i="11" s="1"/>
  <c r="L13" i="11" s="1"/>
  <c r="O121" i="1"/>
  <c r="K5" i="11" s="1"/>
  <c r="K13" i="11" s="1"/>
  <c r="N121" i="1"/>
  <c r="J5" i="11" s="1"/>
  <c r="J13" i="11" s="1"/>
  <c r="M121" i="1"/>
  <c r="I5" i="11" s="1"/>
  <c r="I13" i="11" s="1"/>
  <c r="L121" i="1"/>
  <c r="H5" i="11" s="1"/>
  <c r="H13" i="11" s="1"/>
  <c r="K121" i="1"/>
  <c r="G5" i="11" s="1"/>
  <c r="G13" i="11" s="1"/>
  <c r="J121" i="1"/>
  <c r="F5" i="11" s="1"/>
  <c r="F13" i="11" s="1"/>
  <c r="I121" i="1"/>
  <c r="E5" i="11" s="1"/>
  <c r="E13" i="11" s="1"/>
  <c r="H121" i="1"/>
  <c r="D5" i="11" s="1"/>
  <c r="D13" i="11" s="1"/>
  <c r="X117" i="1"/>
  <c r="T4" i="11" s="1"/>
  <c r="W117" i="1"/>
  <c r="S4" i="11" s="1"/>
  <c r="V117" i="1"/>
  <c r="R4" i="11" s="1"/>
  <c r="U117" i="1"/>
  <c r="Q4" i="11" s="1"/>
  <c r="T117" i="1"/>
  <c r="P4" i="11" s="1"/>
  <c r="S117" i="1"/>
  <c r="O4" i="11" s="1"/>
  <c r="R117" i="1"/>
  <c r="N4" i="11" s="1"/>
  <c r="Q117" i="1"/>
  <c r="M4" i="11" s="1"/>
  <c r="P117" i="1"/>
  <c r="L4" i="11" s="1"/>
  <c r="O117" i="1"/>
  <c r="K4" i="11" s="1"/>
  <c r="N117" i="1"/>
  <c r="J4" i="11" s="1"/>
  <c r="M117" i="1"/>
  <c r="I4" i="11" s="1"/>
  <c r="L117" i="1"/>
  <c r="H4" i="11" s="1"/>
  <c r="K117" i="1"/>
  <c r="G4" i="11" s="1"/>
  <c r="J117" i="1"/>
  <c r="F4" i="11" s="1"/>
  <c r="I117" i="1"/>
  <c r="E4" i="11" s="1"/>
  <c r="H117" i="1"/>
  <c r="D4" i="11" s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7" i="1"/>
  <c r="C4" i="11" s="1"/>
  <c r="G116" i="1"/>
  <c r="G121" i="1"/>
  <c r="C5" i="11" s="1"/>
  <c r="C13" i="11" s="1"/>
  <c r="H170" i="1" l="1"/>
  <c r="I170" i="1"/>
  <c r="I171" i="1"/>
  <c r="D173" i="1"/>
  <c r="F173" i="1"/>
  <c r="H171" i="1"/>
  <c r="E173" i="1"/>
  <c r="I169" i="1"/>
  <c r="H169" i="1"/>
  <c r="J168" i="1"/>
  <c r="V119" i="1"/>
  <c r="U119" i="1"/>
  <c r="W119" i="1"/>
  <c r="X119" i="1"/>
  <c r="S119" i="1"/>
  <c r="R119" i="1"/>
  <c r="Q119" i="1"/>
  <c r="T119" i="1"/>
  <c r="O119" i="1"/>
  <c r="N119" i="1"/>
  <c r="M119" i="1"/>
  <c r="P119" i="1"/>
  <c r="K119" i="1"/>
  <c r="J119" i="1"/>
  <c r="I119" i="1"/>
  <c r="L119" i="1"/>
  <c r="H119" i="1"/>
  <c r="G119" i="1"/>
  <c r="J170" i="1" l="1"/>
  <c r="H174" i="1"/>
  <c r="J171" i="1"/>
  <c r="H173" i="1"/>
  <c r="J169" i="1"/>
  <c r="V99" i="1"/>
  <c r="W99" i="1" s="1"/>
  <c r="X99" i="1" s="1"/>
  <c r="R99" i="1"/>
  <c r="S99" i="1" s="1"/>
  <c r="T99" i="1" s="1"/>
  <c r="U99" i="1" s="1"/>
  <c r="N99" i="1"/>
  <c r="O99" i="1" s="1"/>
  <c r="P99" i="1" s="1"/>
  <c r="Q99" i="1" s="1"/>
  <c r="J173" i="1" l="1"/>
  <c r="K170" i="1" s="1"/>
  <c r="F44" i="1" s="1"/>
  <c r="X93" i="1"/>
  <c r="T3" i="11" s="1"/>
  <c r="T15" i="11" s="1"/>
  <c r="W93" i="1"/>
  <c r="S3" i="11" s="1"/>
  <c r="S15" i="11" s="1"/>
  <c r="V93" i="1"/>
  <c r="R3" i="11" s="1"/>
  <c r="R15" i="11" s="1"/>
  <c r="U93" i="1"/>
  <c r="Q3" i="11" s="1"/>
  <c r="Q15" i="11" s="1"/>
  <c r="T93" i="1"/>
  <c r="P3" i="11" s="1"/>
  <c r="P15" i="11" s="1"/>
  <c r="S93" i="1"/>
  <c r="O3" i="11" s="1"/>
  <c r="O15" i="11" s="1"/>
  <c r="R93" i="1"/>
  <c r="N3" i="11" s="1"/>
  <c r="N15" i="11" s="1"/>
  <c r="Q93" i="1"/>
  <c r="M3" i="11" s="1"/>
  <c r="M15" i="11" s="1"/>
  <c r="P93" i="1"/>
  <c r="L3" i="11" s="1"/>
  <c r="L15" i="11" s="1"/>
  <c r="O93" i="1"/>
  <c r="K3" i="11" s="1"/>
  <c r="K15" i="11" s="1"/>
  <c r="M93" i="1"/>
  <c r="I3" i="11" s="1"/>
  <c r="I15" i="11" s="1"/>
  <c r="L93" i="1"/>
  <c r="H3" i="11" s="1"/>
  <c r="H15" i="11" s="1"/>
  <c r="K93" i="1"/>
  <c r="G3" i="11" s="1"/>
  <c r="G15" i="11" s="1"/>
  <c r="I93" i="1"/>
  <c r="E3" i="11" s="1"/>
  <c r="E15" i="11" s="1"/>
  <c r="H93" i="1"/>
  <c r="D3" i="11" s="1"/>
  <c r="D15" i="11" s="1"/>
  <c r="G93" i="1"/>
  <c r="C3" i="11" l="1"/>
  <c r="C15" i="11" s="1"/>
  <c r="G96" i="1"/>
  <c r="K169" i="1"/>
  <c r="E44" i="1" s="1"/>
  <c r="K168" i="1"/>
  <c r="D44" i="1" s="1"/>
  <c r="K171" i="1"/>
  <c r="G44" i="1" s="1"/>
  <c r="J93" i="1"/>
  <c r="F3" i="11" s="1"/>
  <c r="F15" i="11" s="1"/>
  <c r="H94" i="1" l="1"/>
  <c r="AA44" i="1"/>
  <c r="I94" i="1"/>
  <c r="I97" i="1" s="1"/>
  <c r="G94" i="1"/>
  <c r="K173" i="1"/>
  <c r="J94" i="1"/>
  <c r="J97" i="1" s="1"/>
  <c r="X9" i="1"/>
  <c r="X18" i="1"/>
  <c r="X21" i="1"/>
  <c r="X29" i="1"/>
  <c r="X30" i="1"/>
  <c r="X38" i="1"/>
  <c r="X40" i="1"/>
  <c r="X42" i="1"/>
  <c r="X49" i="1"/>
  <c r="X104" i="1"/>
  <c r="X33" i="1" l="1"/>
  <c r="X25" i="1"/>
  <c r="X27" i="1" s="1"/>
  <c r="X108" i="1"/>
  <c r="X124" i="1"/>
  <c r="X122" i="1" s="1"/>
  <c r="T6" i="11" s="1"/>
  <c r="T10" i="11"/>
  <c r="X100" i="1"/>
  <c r="X95" i="1"/>
  <c r="X107" i="1" s="1"/>
  <c r="X96" i="1"/>
  <c r="X80" i="1"/>
  <c r="X79" i="1"/>
  <c r="T8" i="11" l="1"/>
  <c r="T14" i="11" s="1"/>
  <c r="Z42" i="1"/>
  <c r="Z40" i="1"/>
  <c r="Z38" i="1"/>
  <c r="H190" i="1" l="1"/>
  <c r="H189" i="1"/>
  <c r="H188" i="1"/>
  <c r="G187" i="1"/>
  <c r="G186" i="1"/>
  <c r="G185" i="1"/>
  <c r="F184" i="1"/>
  <c r="F183" i="1"/>
  <c r="F182" i="1"/>
  <c r="E181" i="1"/>
  <c r="E180" i="1"/>
  <c r="E178" i="1"/>
  <c r="D181" i="1"/>
  <c r="D179" i="1"/>
  <c r="D178" i="1"/>
  <c r="E192" i="1" l="1"/>
  <c r="H192" i="1"/>
  <c r="D192" i="1"/>
  <c r="G192" i="1"/>
  <c r="F192" i="1"/>
  <c r="F196" i="1" l="1"/>
  <c r="D196" i="1"/>
  <c r="C200" i="1"/>
  <c r="G200" i="1"/>
  <c r="G196" i="1"/>
  <c r="C204" i="1"/>
  <c r="F200" i="1"/>
  <c r="H196" i="1"/>
  <c r="H200" i="1"/>
  <c r="E200" i="1"/>
  <c r="D200" i="1"/>
  <c r="D204" i="1"/>
  <c r="E196" i="1"/>
  <c r="E204" i="1"/>
  <c r="C196" i="1"/>
  <c r="W104" i="1" l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H124" i="1" l="1"/>
  <c r="H122" i="1" s="1"/>
  <c r="D6" i="11" s="1"/>
  <c r="D10" i="11"/>
  <c r="J100" i="1"/>
  <c r="F10" i="11"/>
  <c r="J124" i="1"/>
  <c r="J122" i="1" s="1"/>
  <c r="F6" i="11" s="1"/>
  <c r="L124" i="1"/>
  <c r="L122" i="1" s="1"/>
  <c r="H6" i="11" s="1"/>
  <c r="H10" i="11"/>
  <c r="J10" i="11"/>
  <c r="N124" i="1"/>
  <c r="N122" i="1" s="1"/>
  <c r="J6" i="11" s="1"/>
  <c r="P124" i="1"/>
  <c r="P122" i="1" s="1"/>
  <c r="L6" i="11" s="1"/>
  <c r="L10" i="11"/>
  <c r="N10" i="11"/>
  <c r="R124" i="1"/>
  <c r="R122" i="1" s="1"/>
  <c r="N6" i="11" s="1"/>
  <c r="T124" i="1"/>
  <c r="T122" i="1" s="1"/>
  <c r="P6" i="11" s="1"/>
  <c r="P10" i="11"/>
  <c r="R10" i="11"/>
  <c r="V124" i="1"/>
  <c r="V122" i="1" s="1"/>
  <c r="R6" i="11" s="1"/>
  <c r="G124" i="1"/>
  <c r="C10" i="11"/>
  <c r="E10" i="11"/>
  <c r="I124" i="1"/>
  <c r="I122" i="1" s="1"/>
  <c r="E6" i="11" s="1"/>
  <c r="K124" i="1"/>
  <c r="K122" i="1" s="1"/>
  <c r="G6" i="11" s="1"/>
  <c r="G10" i="11"/>
  <c r="I10" i="11"/>
  <c r="M124" i="1"/>
  <c r="M122" i="1" s="1"/>
  <c r="I6" i="11" s="1"/>
  <c r="O124" i="1"/>
  <c r="O122" i="1" s="1"/>
  <c r="K6" i="11" s="1"/>
  <c r="K10" i="11"/>
  <c r="M10" i="11"/>
  <c r="Q124" i="1"/>
  <c r="Q122" i="1" s="1"/>
  <c r="M6" i="11" s="1"/>
  <c r="S124" i="1"/>
  <c r="S122" i="1" s="1"/>
  <c r="O6" i="11" s="1"/>
  <c r="O10" i="11"/>
  <c r="Q10" i="11"/>
  <c r="U124" i="1"/>
  <c r="U122" i="1" s="1"/>
  <c r="Q6" i="11" s="1"/>
  <c r="W124" i="1"/>
  <c r="W122" i="1" s="1"/>
  <c r="S6" i="11" s="1"/>
  <c r="S10" i="11"/>
  <c r="K95" i="1"/>
  <c r="K100" i="1"/>
  <c r="K96" i="1"/>
  <c r="W95" i="1"/>
  <c r="W100" i="1"/>
  <c r="W96" i="1"/>
  <c r="H95" i="1"/>
  <c r="H96" i="1"/>
  <c r="L100" i="1"/>
  <c r="L95" i="1"/>
  <c r="L96" i="1"/>
  <c r="N100" i="1"/>
  <c r="N95" i="1"/>
  <c r="P100" i="1"/>
  <c r="P95" i="1"/>
  <c r="P96" i="1"/>
  <c r="R95" i="1"/>
  <c r="R100" i="1"/>
  <c r="R96" i="1"/>
  <c r="T100" i="1"/>
  <c r="T95" i="1"/>
  <c r="T96" i="1"/>
  <c r="V95" i="1"/>
  <c r="V100" i="1"/>
  <c r="V96" i="1"/>
  <c r="I95" i="1"/>
  <c r="I96" i="1"/>
  <c r="M100" i="1"/>
  <c r="M95" i="1"/>
  <c r="M96" i="1"/>
  <c r="O95" i="1"/>
  <c r="O100" i="1"/>
  <c r="O96" i="1"/>
  <c r="Q95" i="1"/>
  <c r="Q100" i="1"/>
  <c r="Q96" i="1"/>
  <c r="S95" i="1"/>
  <c r="S100" i="1"/>
  <c r="S96" i="1"/>
  <c r="U100" i="1"/>
  <c r="U95" i="1"/>
  <c r="U96" i="1"/>
  <c r="J96" i="1"/>
  <c r="J95" i="1"/>
  <c r="G128" i="1"/>
  <c r="F128" i="1"/>
  <c r="E128" i="1"/>
  <c r="D128" i="1"/>
  <c r="T30" i="1"/>
  <c r="P30" i="1"/>
  <c r="L30" i="1"/>
  <c r="H30" i="1"/>
  <c r="W29" i="1"/>
  <c r="V29" i="1"/>
  <c r="U29" i="1"/>
  <c r="T29" i="1"/>
  <c r="S29" i="1"/>
  <c r="R29" i="1"/>
  <c r="Q29" i="1"/>
  <c r="P29" i="1"/>
  <c r="M29" i="1"/>
  <c r="L29" i="1"/>
  <c r="K29" i="1"/>
  <c r="J29" i="1"/>
  <c r="I29" i="1"/>
  <c r="H29" i="1"/>
  <c r="G122" i="1" l="1"/>
  <c r="C6" i="11" s="1"/>
  <c r="C8" i="11" s="1"/>
  <c r="C14" i="11" s="1"/>
  <c r="S8" i="11"/>
  <c r="S14" i="11" s="1"/>
  <c r="O8" i="11"/>
  <c r="O14" i="11" s="1"/>
  <c r="K8" i="11"/>
  <c r="K14" i="11" s="1"/>
  <c r="G8" i="11"/>
  <c r="G14" i="11" s="1"/>
  <c r="P8" i="11"/>
  <c r="P14" i="11" s="1"/>
  <c r="L8" i="11"/>
  <c r="L14" i="11" s="1"/>
  <c r="H8" i="11"/>
  <c r="H14" i="11" s="1"/>
  <c r="Q8" i="11"/>
  <c r="Q14" i="11" s="1"/>
  <c r="M8" i="11"/>
  <c r="M14" i="11" s="1"/>
  <c r="I8" i="11"/>
  <c r="I14" i="11" s="1"/>
  <c r="E8" i="11"/>
  <c r="E14" i="11" s="1"/>
  <c r="R8" i="11"/>
  <c r="R14" i="11" s="1"/>
  <c r="N8" i="11"/>
  <c r="N14" i="11" s="1"/>
  <c r="F8" i="11"/>
  <c r="F14" i="11" s="1"/>
  <c r="D8" i="11"/>
  <c r="D14" i="11" s="1"/>
  <c r="H33" i="1"/>
  <c r="L33" i="1"/>
  <c r="T33" i="1"/>
  <c r="I128" i="1"/>
  <c r="H128" i="1"/>
  <c r="W49" i="1"/>
  <c r="V49" i="1"/>
  <c r="V32" i="1" s="1"/>
  <c r="U49" i="1"/>
  <c r="T49" i="1"/>
  <c r="S49" i="1"/>
  <c r="R49" i="1"/>
  <c r="R32" i="1" s="1"/>
  <c r="Q49" i="1"/>
  <c r="P49" i="1"/>
  <c r="P32" i="1" s="1"/>
  <c r="P33" i="1" s="1"/>
  <c r="O49" i="1"/>
  <c r="N49" i="1"/>
  <c r="M49" i="1"/>
  <c r="L49" i="1"/>
  <c r="K49" i="1"/>
  <c r="J49" i="1"/>
  <c r="I49" i="1"/>
  <c r="T42" i="1"/>
  <c r="G158" i="1" s="1"/>
  <c r="P42" i="1"/>
  <c r="F158" i="1" s="1"/>
  <c r="E158" i="1"/>
  <c r="T40" i="1"/>
  <c r="P40" i="1"/>
  <c r="L40" i="1"/>
  <c r="T38" i="1"/>
  <c r="P38" i="1"/>
  <c r="L38" i="1"/>
  <c r="W21" i="1"/>
  <c r="V21" i="1"/>
  <c r="U21" i="1"/>
  <c r="T21" i="1"/>
  <c r="S21" i="1"/>
  <c r="R21" i="1"/>
  <c r="Q21" i="1"/>
  <c r="L21" i="1"/>
  <c r="K21" i="1"/>
  <c r="J21" i="1"/>
  <c r="I21" i="1"/>
  <c r="W18" i="1"/>
  <c r="W108" i="1" s="1"/>
  <c r="V18" i="1"/>
  <c r="V108" i="1" s="1"/>
  <c r="U18" i="1"/>
  <c r="U108" i="1" s="1"/>
  <c r="T18" i="1"/>
  <c r="T108" i="1" s="1"/>
  <c r="S18" i="1"/>
  <c r="S108" i="1" s="1"/>
  <c r="R18" i="1"/>
  <c r="R108" i="1" s="1"/>
  <c r="Q18" i="1"/>
  <c r="Q108" i="1" s="1"/>
  <c r="P18" i="1"/>
  <c r="P108" i="1" s="1"/>
  <c r="O18" i="1"/>
  <c r="O108" i="1" s="1"/>
  <c r="N18" i="1"/>
  <c r="M18" i="1"/>
  <c r="M108" i="1" s="1"/>
  <c r="L18" i="1"/>
  <c r="L108" i="1" s="1"/>
  <c r="K18" i="1"/>
  <c r="K108" i="1" s="1"/>
  <c r="J18" i="1"/>
  <c r="J108" i="1" s="1"/>
  <c r="I18" i="1"/>
  <c r="I108" i="1" s="1"/>
  <c r="T12" i="1"/>
  <c r="S12" i="1"/>
  <c r="R12" i="1"/>
  <c r="Q12" i="1"/>
  <c r="P12" i="1"/>
  <c r="O12" i="1"/>
  <c r="N12" i="1"/>
  <c r="M12" i="1"/>
  <c r="L12" i="1"/>
  <c r="K12" i="1"/>
  <c r="J12" i="1"/>
  <c r="I12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W107" i="1" l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F129" i="1"/>
  <c r="G129" i="1"/>
  <c r="D129" i="1"/>
  <c r="L25" i="1"/>
  <c r="L27" i="1" s="1"/>
  <c r="L80" i="1"/>
  <c r="L79" i="1"/>
  <c r="I25" i="1"/>
  <c r="I27" i="1" s="1"/>
  <c r="I79" i="1"/>
  <c r="I80" i="1"/>
  <c r="M25" i="1"/>
  <c r="M27" i="1" s="1"/>
  <c r="M79" i="1"/>
  <c r="M80" i="1"/>
  <c r="Q25" i="1"/>
  <c r="Q27" i="1" s="1"/>
  <c r="Q79" i="1"/>
  <c r="Q80" i="1"/>
  <c r="U25" i="1"/>
  <c r="U27" i="1" s="1"/>
  <c r="U79" i="1"/>
  <c r="U80" i="1"/>
  <c r="E148" i="1"/>
  <c r="Q30" i="1"/>
  <c r="Q33" i="1" s="1"/>
  <c r="T25" i="1"/>
  <c r="T27" i="1" s="1"/>
  <c r="T80" i="1"/>
  <c r="T79" i="1"/>
  <c r="J25" i="1"/>
  <c r="J27" i="1" s="1"/>
  <c r="J79" i="1"/>
  <c r="J80" i="1"/>
  <c r="N79" i="1"/>
  <c r="R25" i="1"/>
  <c r="R27" i="1" s="1"/>
  <c r="R79" i="1"/>
  <c r="R80" i="1"/>
  <c r="V25" i="1"/>
  <c r="V27" i="1" s="1"/>
  <c r="V80" i="1"/>
  <c r="V79" i="1"/>
  <c r="F148" i="1"/>
  <c r="M30" i="1"/>
  <c r="M33" i="1" s="1"/>
  <c r="P25" i="1"/>
  <c r="P27" i="1" s="1"/>
  <c r="P80" i="1"/>
  <c r="P79" i="1"/>
  <c r="U30" i="1"/>
  <c r="U33" i="1" s="1"/>
  <c r="K25" i="1"/>
  <c r="K27" i="1" s="1"/>
  <c r="K80" i="1"/>
  <c r="K79" i="1"/>
  <c r="O25" i="1"/>
  <c r="O27" i="1" s="1"/>
  <c r="O79" i="1"/>
  <c r="O80" i="1"/>
  <c r="S25" i="1"/>
  <c r="S27" i="1" s="1"/>
  <c r="S80" i="1"/>
  <c r="S79" i="1"/>
  <c r="W25" i="1"/>
  <c r="W27" i="1" s="1"/>
  <c r="W79" i="1"/>
  <c r="W80" i="1"/>
  <c r="G148" i="1"/>
  <c r="I30" i="1"/>
  <c r="I33" i="1" s="1"/>
  <c r="F138" i="1"/>
  <c r="E138" i="1"/>
  <c r="G138" i="1"/>
  <c r="J128" i="1"/>
  <c r="I42" i="1"/>
  <c r="D159" i="1" s="1"/>
  <c r="J40" i="1"/>
  <c r="Q42" i="1"/>
  <c r="F159" i="1" s="1"/>
  <c r="I38" i="1"/>
  <c r="M38" i="1"/>
  <c r="E129" i="1"/>
  <c r="Q38" i="1"/>
  <c r="U42" i="1"/>
  <c r="G159" i="1" s="1"/>
  <c r="U40" i="1"/>
  <c r="U38" i="1"/>
  <c r="R40" i="1"/>
  <c r="Q40" i="1"/>
  <c r="M42" i="1"/>
  <c r="E159" i="1" s="1"/>
  <c r="N40" i="1"/>
  <c r="M40" i="1"/>
  <c r="H38" i="1"/>
  <c r="H49" i="1"/>
  <c r="H42" i="1"/>
  <c r="D158" i="1" s="1"/>
  <c r="H40" i="1"/>
  <c r="G49" i="1"/>
  <c r="H108" i="1" l="1"/>
  <c r="H107" i="1"/>
  <c r="X106" i="1"/>
  <c r="W106" i="1"/>
  <c r="X109" i="1"/>
  <c r="W109" i="1"/>
  <c r="V81" i="1"/>
  <c r="T106" i="1"/>
  <c r="S106" i="1"/>
  <c r="V106" i="1"/>
  <c r="U106" i="1"/>
  <c r="R81" i="1"/>
  <c r="P106" i="1"/>
  <c r="Q106" i="1"/>
  <c r="O106" i="1"/>
  <c r="R106" i="1"/>
  <c r="P109" i="1"/>
  <c r="O109" i="1"/>
  <c r="Q109" i="1"/>
  <c r="R109" i="1"/>
  <c r="L106" i="1"/>
  <c r="K106" i="1"/>
  <c r="N106" i="1"/>
  <c r="M106" i="1"/>
  <c r="E130" i="1"/>
  <c r="E131" i="1"/>
  <c r="X66" i="1"/>
  <c r="G130" i="1"/>
  <c r="G133" i="1" s="1"/>
  <c r="X72" i="1"/>
  <c r="X81" i="1"/>
  <c r="E150" i="1"/>
  <c r="L81" i="1"/>
  <c r="K81" i="1"/>
  <c r="M81" i="1"/>
  <c r="D148" i="1"/>
  <c r="H148" i="1" s="1"/>
  <c r="G149" i="1"/>
  <c r="R66" i="1"/>
  <c r="V30" i="1"/>
  <c r="V33" i="1" s="1"/>
  <c r="N81" i="1"/>
  <c r="D149" i="1"/>
  <c r="T81" i="1"/>
  <c r="S81" i="1"/>
  <c r="U81" i="1"/>
  <c r="F149" i="1"/>
  <c r="R42" i="1"/>
  <c r="F160" i="1" s="1"/>
  <c r="D150" i="1"/>
  <c r="H159" i="1"/>
  <c r="I159" i="1"/>
  <c r="R72" i="1"/>
  <c r="W81" i="1"/>
  <c r="W72" i="1"/>
  <c r="P81" i="1"/>
  <c r="O81" i="1"/>
  <c r="P72" i="1"/>
  <c r="O72" i="1"/>
  <c r="Q81" i="1"/>
  <c r="Q72" i="1"/>
  <c r="N30" i="1"/>
  <c r="I158" i="1"/>
  <c r="H158" i="1"/>
  <c r="H80" i="1"/>
  <c r="H79" i="1"/>
  <c r="E149" i="1"/>
  <c r="F150" i="1"/>
  <c r="W38" i="1"/>
  <c r="W66" i="1"/>
  <c r="F139" i="1"/>
  <c r="E139" i="1"/>
  <c r="P66" i="1"/>
  <c r="G139" i="1"/>
  <c r="D139" i="1"/>
  <c r="O66" i="1"/>
  <c r="D138" i="1"/>
  <c r="Q66" i="1"/>
  <c r="N42" i="1"/>
  <c r="E160" i="1" s="1"/>
  <c r="V38" i="1"/>
  <c r="I129" i="1"/>
  <c r="H129" i="1"/>
  <c r="D130" i="1"/>
  <c r="J38" i="1"/>
  <c r="K40" i="1"/>
  <c r="J30" i="1"/>
  <c r="J33" i="1" s="1"/>
  <c r="F130" i="1"/>
  <c r="R30" i="1"/>
  <c r="R33" i="1" s="1"/>
  <c r="J42" i="1"/>
  <c r="D160" i="1" s="1"/>
  <c r="V42" i="1"/>
  <c r="G160" i="1" s="1"/>
  <c r="G163" i="1" s="1"/>
  <c r="V40" i="1"/>
  <c r="R38" i="1"/>
  <c r="S40" i="1"/>
  <c r="U82" i="1" s="1"/>
  <c r="O38" i="1"/>
  <c r="N38" i="1"/>
  <c r="O40" i="1"/>
  <c r="R82" i="1" s="1"/>
  <c r="U83" i="1" l="1"/>
  <c r="R83" i="1"/>
  <c r="W105" i="1"/>
  <c r="W112" i="1" s="1"/>
  <c r="X105" i="1"/>
  <c r="X112" i="1" s="1"/>
  <c r="V105" i="1"/>
  <c r="T105" i="1"/>
  <c r="U105" i="1"/>
  <c r="S105" i="1"/>
  <c r="T109" i="1"/>
  <c r="S109" i="1"/>
  <c r="V109" i="1"/>
  <c r="U109" i="1"/>
  <c r="R97" i="1"/>
  <c r="R105" i="1"/>
  <c r="R111" i="1" s="1"/>
  <c r="Q105" i="1"/>
  <c r="Q111" i="1" s="1"/>
  <c r="P105" i="1"/>
  <c r="P112" i="1" s="1"/>
  <c r="O105" i="1"/>
  <c r="O112" i="1" s="1"/>
  <c r="N97" i="1"/>
  <c r="L105" i="1"/>
  <c r="K105" i="1"/>
  <c r="M105" i="1"/>
  <c r="L109" i="1"/>
  <c r="M109" i="1"/>
  <c r="K109" i="1"/>
  <c r="N109" i="1"/>
  <c r="O42" i="1"/>
  <c r="E161" i="1" s="1"/>
  <c r="E163" i="1" s="1"/>
  <c r="W87" i="1"/>
  <c r="E133" i="1"/>
  <c r="P87" i="1"/>
  <c r="X97" i="1"/>
  <c r="W97" i="1"/>
  <c r="R87" i="1"/>
  <c r="T97" i="1"/>
  <c r="U97" i="1"/>
  <c r="N74" i="1"/>
  <c r="L97" i="1"/>
  <c r="M97" i="1"/>
  <c r="P97" i="1"/>
  <c r="Q97" i="1"/>
  <c r="V97" i="1"/>
  <c r="O87" i="1"/>
  <c r="U72" i="1"/>
  <c r="X87" i="1"/>
  <c r="Q87" i="1"/>
  <c r="K72" i="1"/>
  <c r="H149" i="1"/>
  <c r="X74" i="1"/>
  <c r="X73" i="1"/>
  <c r="X75" i="1"/>
  <c r="X67" i="1"/>
  <c r="X68" i="1"/>
  <c r="Q82" i="1"/>
  <c r="Q83" i="1" s="1"/>
  <c r="I148" i="1"/>
  <c r="J148" i="1" s="1"/>
  <c r="S72" i="1"/>
  <c r="L72" i="1"/>
  <c r="N72" i="1"/>
  <c r="S30" i="1"/>
  <c r="S33" i="1" s="1"/>
  <c r="S73" i="1"/>
  <c r="T75" i="1"/>
  <c r="S74" i="1"/>
  <c r="T73" i="1"/>
  <c r="S75" i="1"/>
  <c r="T74" i="1"/>
  <c r="U73" i="1"/>
  <c r="U75" i="1"/>
  <c r="U74" i="1"/>
  <c r="O30" i="1"/>
  <c r="O73" i="1"/>
  <c r="P75" i="1"/>
  <c r="O75" i="1"/>
  <c r="P74" i="1"/>
  <c r="O74" i="1"/>
  <c r="P73" i="1"/>
  <c r="Q73" i="1"/>
  <c r="Q74" i="1"/>
  <c r="Q75" i="1"/>
  <c r="V73" i="1"/>
  <c r="G150" i="1"/>
  <c r="I150" i="1" s="1"/>
  <c r="V82" i="1"/>
  <c r="V83" i="1" s="1"/>
  <c r="W30" i="1"/>
  <c r="W33" i="1" s="1"/>
  <c r="W73" i="1"/>
  <c r="W75" i="1"/>
  <c r="W74" i="1"/>
  <c r="J159" i="1"/>
  <c r="R73" i="1"/>
  <c r="T72" i="1"/>
  <c r="V74" i="1"/>
  <c r="D151" i="1"/>
  <c r="D153" i="1" s="1"/>
  <c r="K82" i="1"/>
  <c r="K83" i="1" s="1"/>
  <c r="L82" i="1"/>
  <c r="I149" i="1"/>
  <c r="V72" i="1"/>
  <c r="R74" i="1"/>
  <c r="M72" i="1"/>
  <c r="K30" i="1"/>
  <c r="K33" i="1" s="1"/>
  <c r="K73" i="1"/>
  <c r="L75" i="1"/>
  <c r="L73" i="1"/>
  <c r="K75" i="1"/>
  <c r="L74" i="1"/>
  <c r="K74" i="1"/>
  <c r="M75" i="1"/>
  <c r="M74" i="1"/>
  <c r="M73" i="1"/>
  <c r="N73" i="1"/>
  <c r="E151" i="1"/>
  <c r="E153" i="1" s="1"/>
  <c r="O82" i="1"/>
  <c r="O83" i="1" s="1"/>
  <c r="P82" i="1"/>
  <c r="P83" i="1" s="1"/>
  <c r="F151" i="1"/>
  <c r="F153" i="1" s="1"/>
  <c r="S82" i="1"/>
  <c r="S83" i="1" s="1"/>
  <c r="T82" i="1"/>
  <c r="T83" i="1" s="1"/>
  <c r="H160" i="1"/>
  <c r="I160" i="1"/>
  <c r="M82" i="1"/>
  <c r="J158" i="1"/>
  <c r="V75" i="1"/>
  <c r="N82" i="1"/>
  <c r="N83" i="1" s="1"/>
  <c r="E140" i="1"/>
  <c r="Q68" i="1"/>
  <c r="O67" i="1"/>
  <c r="E141" i="1"/>
  <c r="O68" i="1"/>
  <c r="P67" i="1"/>
  <c r="P68" i="1"/>
  <c r="F131" i="1"/>
  <c r="F133" i="1" s="1"/>
  <c r="S66" i="1"/>
  <c r="T66" i="1"/>
  <c r="U66" i="1"/>
  <c r="V66" i="1"/>
  <c r="G140" i="1"/>
  <c r="G143" i="1" s="1"/>
  <c r="W68" i="1"/>
  <c r="H139" i="1"/>
  <c r="I139" i="1"/>
  <c r="Q67" i="1"/>
  <c r="M66" i="1"/>
  <c r="L66" i="1"/>
  <c r="N66" i="1"/>
  <c r="W67" i="1"/>
  <c r="R67" i="1"/>
  <c r="F140" i="1"/>
  <c r="R68" i="1"/>
  <c r="D140" i="1"/>
  <c r="I138" i="1"/>
  <c r="H138" i="1"/>
  <c r="I130" i="1"/>
  <c r="J129" i="1"/>
  <c r="K42" i="1"/>
  <c r="D161" i="1" s="1"/>
  <c r="S42" i="1"/>
  <c r="F161" i="1" s="1"/>
  <c r="F163" i="1" s="1"/>
  <c r="S38" i="1"/>
  <c r="V67" i="1" s="1"/>
  <c r="K38" i="1"/>
  <c r="N67" i="1" s="1"/>
  <c r="D131" i="1"/>
  <c r="H130" i="1"/>
  <c r="W40" i="1"/>
  <c r="X82" i="1" s="1"/>
  <c r="X83" i="1" s="1"/>
  <c r="W42" i="1"/>
  <c r="R112" i="1" l="1"/>
  <c r="O111" i="1"/>
  <c r="G108" i="1"/>
  <c r="W111" i="1"/>
  <c r="X111" i="1"/>
  <c r="U112" i="1"/>
  <c r="U111" i="1"/>
  <c r="S112" i="1"/>
  <c r="S111" i="1"/>
  <c r="V112" i="1"/>
  <c r="V111" i="1"/>
  <c r="T112" i="1"/>
  <c r="T111" i="1"/>
  <c r="P111" i="1"/>
  <c r="Q112" i="1"/>
  <c r="K112" i="1"/>
  <c r="K111" i="1"/>
  <c r="M112" i="1"/>
  <c r="M111" i="1"/>
  <c r="L112" i="1"/>
  <c r="L111" i="1"/>
  <c r="R98" i="1"/>
  <c r="S98" i="1" s="1"/>
  <c r="T98" i="1" s="1"/>
  <c r="U98" i="1" s="1"/>
  <c r="O97" i="1"/>
  <c r="K88" i="1"/>
  <c r="Q88" i="1"/>
  <c r="Q89" i="1" s="1"/>
  <c r="X88" i="1"/>
  <c r="X89" i="1" s="1"/>
  <c r="N98" i="1"/>
  <c r="O98" i="1" s="1"/>
  <c r="P98" i="1" s="1"/>
  <c r="Q98" i="1" s="1"/>
  <c r="V98" i="1"/>
  <c r="W98" i="1" s="1"/>
  <c r="X98" i="1" s="1"/>
  <c r="S97" i="1"/>
  <c r="T87" i="1"/>
  <c r="M87" i="1"/>
  <c r="J149" i="1"/>
  <c r="M88" i="1"/>
  <c r="W88" i="1"/>
  <c r="W89" i="1" s="1"/>
  <c r="T88" i="1"/>
  <c r="K87" i="1"/>
  <c r="V88" i="1"/>
  <c r="L88" i="1"/>
  <c r="O88" i="1"/>
  <c r="O89" i="1" s="1"/>
  <c r="S88" i="1"/>
  <c r="L87" i="1"/>
  <c r="V87" i="1"/>
  <c r="U87" i="1"/>
  <c r="P88" i="1"/>
  <c r="P89" i="1" s="1"/>
  <c r="U88" i="1"/>
  <c r="S87" i="1"/>
  <c r="N87" i="1"/>
  <c r="J160" i="1"/>
  <c r="I151" i="1"/>
  <c r="H151" i="1"/>
  <c r="G80" i="1"/>
  <c r="G79" i="1"/>
  <c r="I161" i="1"/>
  <c r="H161" i="1"/>
  <c r="D163" i="1"/>
  <c r="H163" i="1" s="1"/>
  <c r="W82" i="1"/>
  <c r="W83" i="1" s="1"/>
  <c r="H150" i="1"/>
  <c r="G153" i="1"/>
  <c r="H153" i="1" s="1"/>
  <c r="E143" i="1"/>
  <c r="N68" i="1"/>
  <c r="K67" i="1"/>
  <c r="K68" i="1"/>
  <c r="D141" i="1"/>
  <c r="L67" i="1"/>
  <c r="L68" i="1"/>
  <c r="M67" i="1"/>
  <c r="M68" i="1"/>
  <c r="J138" i="1"/>
  <c r="H140" i="1"/>
  <c r="I140" i="1"/>
  <c r="S67" i="1"/>
  <c r="F141" i="1"/>
  <c r="F143" i="1" s="1"/>
  <c r="S68" i="1"/>
  <c r="T67" i="1"/>
  <c r="T68" i="1"/>
  <c r="U67" i="1"/>
  <c r="U68" i="1"/>
  <c r="K66" i="1"/>
  <c r="J139" i="1"/>
  <c r="V68" i="1"/>
  <c r="J130" i="1"/>
  <c r="H131" i="1"/>
  <c r="H134" i="1" s="1"/>
  <c r="I131" i="1"/>
  <c r="D133" i="1"/>
  <c r="H133" i="1" s="1"/>
  <c r="T89" i="1" l="1"/>
  <c r="L89" i="1"/>
  <c r="K89" i="1"/>
  <c r="M89" i="1"/>
  <c r="H154" i="1"/>
  <c r="U89" i="1"/>
  <c r="V89" i="1"/>
  <c r="J151" i="1"/>
  <c r="S89" i="1"/>
  <c r="J161" i="1"/>
  <c r="J163" i="1" s="1"/>
  <c r="H164" i="1"/>
  <c r="J150" i="1"/>
  <c r="I141" i="1"/>
  <c r="H141" i="1"/>
  <c r="J140" i="1"/>
  <c r="D143" i="1"/>
  <c r="H143" i="1" s="1"/>
  <c r="J131" i="1"/>
  <c r="J153" i="1" l="1"/>
  <c r="K149" i="1" s="1"/>
  <c r="E40" i="1" s="1"/>
  <c r="J141" i="1"/>
  <c r="J143" i="1" s="1"/>
  <c r="K141" i="1" s="1"/>
  <c r="G38" i="1" s="1"/>
  <c r="J67" i="1" s="1"/>
  <c r="K161" i="1"/>
  <c r="G42" i="1" s="1"/>
  <c r="K159" i="1"/>
  <c r="E42" i="1" s="1"/>
  <c r="K158" i="1"/>
  <c r="K160" i="1"/>
  <c r="F42" i="1" s="1"/>
  <c r="H144" i="1"/>
  <c r="J133" i="1"/>
  <c r="K151" i="1" l="1"/>
  <c r="G40" i="1" s="1"/>
  <c r="J82" i="1" s="1"/>
  <c r="K148" i="1"/>
  <c r="D40" i="1" s="1"/>
  <c r="K150" i="1"/>
  <c r="F40" i="1" s="1"/>
  <c r="D42" i="1"/>
  <c r="AA42" i="1" s="1"/>
  <c r="K163" i="1"/>
  <c r="J68" i="1"/>
  <c r="K140" i="1"/>
  <c r="F38" i="1" s="1"/>
  <c r="I67" i="1" s="1"/>
  <c r="K139" i="1"/>
  <c r="E38" i="1" s="1"/>
  <c r="K138" i="1"/>
  <c r="D38" i="1" s="1"/>
  <c r="K128" i="1"/>
  <c r="K130" i="1"/>
  <c r="K129" i="1"/>
  <c r="K131" i="1"/>
  <c r="G37" i="1" s="1"/>
  <c r="I82" i="1" l="1"/>
  <c r="H82" i="1"/>
  <c r="G82" i="1"/>
  <c r="K153" i="1"/>
  <c r="J109" i="1"/>
  <c r="J87" i="1"/>
  <c r="I68" i="1"/>
  <c r="H67" i="1"/>
  <c r="AA38" i="1"/>
  <c r="K143" i="1"/>
  <c r="H68" i="1"/>
  <c r="G68" i="1"/>
  <c r="J66" i="1"/>
  <c r="E37" i="1"/>
  <c r="E39" i="1" s="1"/>
  <c r="E41" i="1" s="1"/>
  <c r="F37" i="1"/>
  <c r="I109" i="1" s="1"/>
  <c r="G39" i="1"/>
  <c r="D37" i="1"/>
  <c r="G67" i="1"/>
  <c r="K133" i="1"/>
  <c r="G109" i="1" l="1"/>
  <c r="J106" i="1"/>
  <c r="H109" i="1"/>
  <c r="H87" i="1"/>
  <c r="I87" i="1"/>
  <c r="G87" i="1"/>
  <c r="G41" i="1"/>
  <c r="G43" i="1" s="1"/>
  <c r="J81" i="1"/>
  <c r="J83" i="1" s="1"/>
  <c r="J72" i="1"/>
  <c r="AA37" i="1"/>
  <c r="D39" i="1"/>
  <c r="D41" i="1" s="1"/>
  <c r="H66" i="1"/>
  <c r="I66" i="1"/>
  <c r="G66" i="1"/>
  <c r="F39" i="1"/>
  <c r="H81" i="1" s="1"/>
  <c r="H83" i="1" s="1"/>
  <c r="H106" i="1" l="1"/>
  <c r="G106" i="1"/>
  <c r="I106" i="1"/>
  <c r="J105" i="1"/>
  <c r="J73" i="1"/>
  <c r="J74" i="1"/>
  <c r="J75" i="1"/>
  <c r="I72" i="1"/>
  <c r="H72" i="1"/>
  <c r="I81" i="1"/>
  <c r="I83" i="1" s="1"/>
  <c r="G81" i="1"/>
  <c r="G83" i="1" s="1"/>
  <c r="F41" i="1"/>
  <c r="F43" i="1" s="1"/>
  <c r="I105" i="1" s="1"/>
  <c r="AA39" i="1"/>
  <c r="G72" i="1"/>
  <c r="D43" i="1"/>
  <c r="AA40" i="1"/>
  <c r="E43" i="1"/>
  <c r="AA41" i="1" l="1"/>
  <c r="I112" i="1"/>
  <c r="I111" i="1"/>
  <c r="J112" i="1"/>
  <c r="J111" i="1"/>
  <c r="H105" i="1"/>
  <c r="G105" i="1"/>
  <c r="G111" i="1" s="1"/>
  <c r="J98" i="1"/>
  <c r="K98" i="1" s="1"/>
  <c r="L98" i="1" s="1"/>
  <c r="M98" i="1" s="1"/>
  <c r="J88" i="1"/>
  <c r="J89" i="1" s="1"/>
  <c r="H75" i="1"/>
  <c r="G74" i="1"/>
  <c r="I74" i="1"/>
  <c r="G73" i="1"/>
  <c r="H73" i="1"/>
  <c r="H74" i="1"/>
  <c r="I75" i="1"/>
  <c r="G75" i="1"/>
  <c r="I73" i="1"/>
  <c r="AA43" i="1"/>
  <c r="I88" i="1" l="1"/>
  <c r="I89" i="1" s="1"/>
  <c r="G112" i="1"/>
  <c r="H112" i="1"/>
  <c r="H111" i="1"/>
  <c r="G88" i="1"/>
  <c r="G89" i="1" s="1"/>
  <c r="H88" i="1"/>
  <c r="H89" i="1" s="1"/>
  <c r="N108" i="1" l="1"/>
  <c r="O29" i="1"/>
  <c r="O33" i="1" s="1"/>
  <c r="N29" i="1"/>
  <c r="N33" i="1" s="1"/>
  <c r="N25" i="1"/>
  <c r="N27" i="1" s="1"/>
  <c r="N93" i="1" l="1"/>
  <c r="N75" i="1"/>
  <c r="N88" i="1" s="1"/>
  <c r="N89" i="1" s="1"/>
  <c r="N80" i="1"/>
  <c r="R75" i="1"/>
  <c r="R88" i="1" s="1"/>
  <c r="R89" i="1" s="1"/>
  <c r="N105" i="1"/>
  <c r="N112" i="1" l="1"/>
  <c r="N111" i="1"/>
  <c r="N96" i="1"/>
  <c r="J3" i="11"/>
  <c r="J8" i="11" l="1"/>
  <c r="J14" i="11" s="1"/>
  <c r="J15" i="11"/>
</calcChain>
</file>

<file path=xl/sharedStrings.xml><?xml version="1.0" encoding="utf-8"?>
<sst xmlns="http://schemas.openxmlformats.org/spreadsheetml/2006/main" count="313" uniqueCount="170">
  <si>
    <t>Zysk (strata) brutto</t>
  </si>
  <si>
    <t>Zysk (strata) netto</t>
  </si>
  <si>
    <t>Przychody ze sprzedaży</t>
  </si>
  <si>
    <t>Środki pieniężne</t>
  </si>
  <si>
    <t>Aktywa trwałe</t>
  </si>
  <si>
    <t>Aktywa obrotowe</t>
  </si>
  <si>
    <t>Aktywa</t>
  </si>
  <si>
    <t>Kapitał zakładowy</t>
  </si>
  <si>
    <t>Zobowiązania długoterminowe</t>
  </si>
  <si>
    <t>Zobowiązania krótkoterminowe</t>
  </si>
  <si>
    <t>Bilans (sprawozdanie z sytuacji finansowej)</t>
  </si>
  <si>
    <t>Pozostałe aktywa obrotowe</t>
  </si>
  <si>
    <t>Pozostałe aktywa</t>
  </si>
  <si>
    <t>Zobowiązania</t>
  </si>
  <si>
    <t>Pozostałe kapitały</t>
  </si>
  <si>
    <t>Pozostałe pasywa</t>
  </si>
  <si>
    <t>Pasywa</t>
  </si>
  <si>
    <t>Koszty i przychody finansowe, udział w zyskach jednostek stowarzyszonych</t>
  </si>
  <si>
    <t>Koszt własny sprzedaży, pozostałe przychody i koszty operacyjne</t>
  </si>
  <si>
    <t>Podatek dochodowy i podatek odroczony</t>
  </si>
  <si>
    <t>Zysk operacyjny</t>
  </si>
  <si>
    <t>I 2009</t>
  </si>
  <si>
    <t>Pozostałe dane</t>
  </si>
  <si>
    <t>Wartość nominalna akcji</t>
  </si>
  <si>
    <t>Rachunek zysków i strat (sprawozdanie z zysków lub strat)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</si>
  <si>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</si>
  <si>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</si>
  <si>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</si>
  <si>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</si>
  <si>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</si>
  <si>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</si>
  <si>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</si>
  <si>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</si>
  <si>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</si>
  <si>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</si>
  <si>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</si>
  <si>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</si>
  <si>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</si>
  <si>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</si>
  <si>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</si>
  <si>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</si>
  <si>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Kapitał własny</t>
  </si>
  <si>
    <t>wzrost/spadek kapitału:</t>
  </si>
  <si>
    <t>zysk/strata</t>
  </si>
  <si>
    <t>wypłata dywidendy</t>
  </si>
  <si>
    <t>inne</t>
  </si>
  <si>
    <t>sezonowość przychodów</t>
  </si>
  <si>
    <t>I</t>
  </si>
  <si>
    <t>II</t>
  </si>
  <si>
    <t>III</t>
  </si>
  <si>
    <t>IV</t>
  </si>
  <si>
    <t>razem</t>
  </si>
  <si>
    <t>wskaźnik</t>
  </si>
  <si>
    <t>ilość</t>
  </si>
  <si>
    <t>średnia</t>
  </si>
  <si>
    <t>na ostatni dzień kwartału</t>
  </si>
  <si>
    <t>Ceny zamknięcia akcji</t>
  </si>
  <si>
    <t>Razem</t>
  </si>
  <si>
    <t>Wskaźniki płynności</t>
  </si>
  <si>
    <t>płynność III stopnia</t>
  </si>
  <si>
    <t>płynność I stopnia</t>
  </si>
  <si>
    <t>Wskaźniki obrotowości</t>
  </si>
  <si>
    <t>obrót aktywami krótkoterminowymi z wyjątkiem środków pieniężnych</t>
  </si>
  <si>
    <t>obrót zobowiązaniani krótkoterminowymi</t>
  </si>
  <si>
    <t>obrót kapitałem w obrocie</t>
  </si>
  <si>
    <t>Wskaźniki zadłużenia</t>
  </si>
  <si>
    <t>Dżwignie</t>
  </si>
  <si>
    <t>Dźwignia finansowa zmodyfikowana</t>
  </si>
  <si>
    <t>Dźwignia operacyjna zmodyfikowana</t>
  </si>
  <si>
    <t>stopa zadłużenia aktywów</t>
  </si>
  <si>
    <t>stopa zadłużenia kapitałów</t>
  </si>
  <si>
    <t>Dźwignia łączna zmodyfikowana</t>
  </si>
  <si>
    <t>Wskaźniki rynkowe</t>
  </si>
  <si>
    <t>Wartość księgowa na akcję</t>
  </si>
  <si>
    <t>Zysk na akcję</t>
  </si>
  <si>
    <t>Kapitalizacja (wartość rynkowa)</t>
  </si>
  <si>
    <t>Stopa wypłat dywidendy</t>
  </si>
  <si>
    <t>Cena do wartości księgowej</t>
  </si>
  <si>
    <t>Wskaźnik na skłonność do upadłości (Z-Score zmodyfikowany)</t>
  </si>
  <si>
    <t>Kapitał w obrocie/aktywa</t>
  </si>
  <si>
    <t>Zysk operacyjny/aktywa</t>
  </si>
  <si>
    <t>Kapitalizacja/zobowiązania</t>
  </si>
  <si>
    <t>Sprzedaż/aktywa</t>
  </si>
  <si>
    <t>Struktura ceny akcji</t>
  </si>
  <si>
    <t>Majątek pomniejszony o zobowiązania krótkoterminowe</t>
  </si>
  <si>
    <t>Dywidenda na akcję</t>
  </si>
  <si>
    <t>Wartość firmy</t>
  </si>
  <si>
    <t>Kurs akcji</t>
  </si>
  <si>
    <t>kapitał obrotowy na ostatni dzień kwartału</t>
  </si>
  <si>
    <t>Dni w okresie:</t>
  </si>
  <si>
    <t>styczeń</t>
  </si>
  <si>
    <t>luty</t>
  </si>
  <si>
    <t>luty przestępny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</si>
  <si>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</si>
  <si>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</si>
  <si>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</si>
  <si>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</si>
  <si>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</si>
  <si>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</si>
  <si>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</si>
  <si>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</si>
  <si>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</si>
  <si>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</si>
  <si>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Dni</t>
  </si>
  <si>
    <t>QI</t>
  </si>
  <si>
    <t>QII</t>
  </si>
  <si>
    <t>QIII</t>
  </si>
  <si>
    <t>QIV</t>
  </si>
  <si>
    <t>QI + QII</t>
  </si>
  <si>
    <t>QII + QIII</t>
  </si>
  <si>
    <t>QIII + QIV</t>
  </si>
  <si>
    <t>QIV + QI</t>
  </si>
  <si>
    <t>QI Prz +QII</t>
  </si>
  <si>
    <t>QIV + QI Prz</t>
  </si>
  <si>
    <t>QI + QII + QIII</t>
  </si>
  <si>
    <t>QI Prz + QII + QIII</t>
  </si>
  <si>
    <t>QII + QIII + QIV</t>
  </si>
  <si>
    <t>QIII + QIV + QI</t>
  </si>
  <si>
    <t>QIV +QI + QII</t>
  </si>
  <si>
    <t>QIV + QI Prz + QII</t>
  </si>
  <si>
    <t>QIII + QIV + QI Prz</t>
  </si>
  <si>
    <t>QI Prz</t>
  </si>
  <si>
    <t>QI + QII + QIII + QIV</t>
  </si>
  <si>
    <t>QI Prz + QII + QIII + QIV</t>
  </si>
  <si>
    <t>tys. zł</t>
  </si>
  <si>
    <t>miara</t>
  </si>
  <si>
    <t>mln sztuk</t>
  </si>
  <si>
    <t>Ilość akcji</t>
  </si>
  <si>
    <t>zł</t>
  </si>
  <si>
    <t>ile razy</t>
  </si>
  <si>
    <t>dni</t>
  </si>
  <si>
    <t>I 2008</t>
  </si>
  <si>
    <t>II 2008</t>
  </si>
  <si>
    <t>III 2008</t>
  </si>
  <si>
    <t>IV 2008</t>
  </si>
  <si>
    <t>spraw-dzenie</t>
  </si>
  <si>
    <t>sezonowość kosztu własnego sprzedaży + przychody i koszty operacyjne</t>
  </si>
  <si>
    <t>kapitał obrotowy średni w okresie</t>
  </si>
  <si>
    <t>Kapitał obcy długoterminowy</t>
  </si>
  <si>
    <t>Zyskowność operacyjna sprzedaży</t>
  </si>
  <si>
    <t>Zyskowność netto sprzedaży</t>
  </si>
  <si>
    <t>Zyskowność netto aktywów</t>
  </si>
  <si>
    <t>%</t>
  </si>
  <si>
    <t>Sezonowość koszty i przychody finansowe</t>
  </si>
  <si>
    <t>Sezonowość podatek dochodowy i odroczony</t>
  </si>
  <si>
    <t>zysk operacyjny za cztery kwartały</t>
  </si>
  <si>
    <t>PKFJS za cztery kwartały</t>
  </si>
  <si>
    <t>pokrycie przychodów i kosztów finansowych oraz dochodów uzyskanych od jedniostek wycenianych metodą praw własności zyskiem operacyjnym</t>
  </si>
  <si>
    <t>Zyskowność netto kapitału</t>
  </si>
  <si>
    <t>Wskaźniki zyskowności (rentowności)</t>
  </si>
  <si>
    <t>zł/akcja</t>
  </si>
  <si>
    <t>średnioroczna</t>
  </si>
  <si>
    <t>Cena do zysku</t>
  </si>
  <si>
    <t>Stopa dywidendy historyczna</t>
  </si>
  <si>
    <t>Stopa dywidendy bieżąca</t>
  </si>
  <si>
    <t>bd</t>
  </si>
  <si>
    <t>Kapitał własny - zysk netto/aktywa</t>
  </si>
  <si>
    <t>Wskaźnik Z-Score</t>
  </si>
  <si>
    <t>Wskaźnik Z-Score gdyby nie była spółką publiczną</t>
  </si>
  <si>
    <t>Kapitalizacja/zobowiązania gdyby nie była spółką publiczną</t>
  </si>
  <si>
    <t>Dywidenda</t>
  </si>
  <si>
    <t>Sprawdzenie</t>
  </si>
  <si>
    <t>Zysk (strata) netto akcjonariuszy jednostki dominującej</t>
  </si>
  <si>
    <t>Kapitał własny przypadający akcjonariuszom jednostki dominującej</t>
  </si>
  <si>
    <t>emisja akcji (wartość nominalna)</t>
  </si>
  <si>
    <t xml:space="preserve">Sezonowość zysk netto </t>
  </si>
  <si>
    <t>Wartość księgowa</t>
  </si>
  <si>
    <t>Kurs akcji (wartość rynkowa)</t>
  </si>
  <si>
    <t>Dane finansowe Novita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</si>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</sst>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/>
    <xf numFmtId="164" fontId="0" fillId="0" borderId="0" xfId="0" applyNumberFormat="1" applyBorder="1"/>
    <xf numFmtId="0" fontId="0" fillId="0" borderId="2" xfId="0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Border="1"/>
    <xf numFmtId="10" fontId="0" fillId="0" borderId="1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10" fontId="0" fillId="0" borderId="0" xfId="0" applyNumberFormat="1"/>
    <xf numFmtId="4" fontId="0" fillId="0" borderId="1" xfId="0" applyNumberFormat="1" applyBorder="1"/>
    <xf numFmtId="165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/>
    <xf numFmtId="165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0" fillId="0" borderId="1" xfId="0" applyNumberFormat="1" applyFont="1" applyBorder="1"/>
    <xf numFmtId="0" fontId="2" fillId="0" borderId="1" xfId="0" applyFont="1" applyBorder="1" applyAlignment="1">
      <alignment wrapText="1"/>
    </xf>
    <xf numFmtId="8" fontId="0" fillId="0" borderId="1" xfId="0" applyNumberFormat="1" applyBorder="1"/>
    <xf numFmtId="0" fontId="0" fillId="0" borderId="1" xfId="0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/>
    <xf numFmtId="0" fontId="2" fillId="2" borderId="1" xfId="0" applyFont="1" applyFill="1" applyBorder="1"/>
    <xf numFmtId="0" fontId="2" fillId="0" borderId="0" xfId="0" applyFont="1" applyFill="1"/>
    <xf numFmtId="164" fontId="2" fillId="2" borderId="1" xfId="0" applyNumberFormat="1" applyFont="1" applyFill="1" applyBorder="1"/>
    <xf numFmtId="165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Novita - struktura ceny akcji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SCA!$B$3</c:f>
              <c:strCache>
                <c:ptCount val="1"/>
                <c:pt idx="0">
                  <c:v>Kapitał własny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SCA!$C$3:$T$3</c:f>
              <c:numCache>
                <c:formatCode>"zł"#,##0.00_);[Red]\("zł"#,##0.00\)</c:formatCode>
                <c:ptCount val="18"/>
                <c:pt idx="0">
                  <c:v>26.31</c:v>
                </c:pt>
                <c:pt idx="1">
                  <c:v>26.880800000000001</c:v>
                </c:pt>
                <c:pt idx="2">
                  <c:v>25.4312</c:v>
                </c:pt>
                <c:pt idx="3">
                  <c:v>26.279199999999999</c:v>
                </c:pt>
                <c:pt idx="4">
                  <c:v>26.143999999999998</c:v>
                </c:pt>
                <c:pt idx="5">
                  <c:v>26.3992</c:v>
                </c:pt>
                <c:pt idx="6">
                  <c:v>24.901599999999998</c:v>
                </c:pt>
                <c:pt idx="7">
                  <c:v>25.602400000000003</c:v>
                </c:pt>
                <c:pt idx="8">
                  <c:v>26.162400000000002</c:v>
                </c:pt>
                <c:pt idx="9">
                  <c:v>32.239200000000004</c:v>
                </c:pt>
                <c:pt idx="10">
                  <c:v>30.3476</c:v>
                </c:pt>
                <c:pt idx="11">
                  <c:v>25.2652</c:v>
                </c:pt>
                <c:pt idx="12">
                  <c:v>31.533999999999999</c:v>
                </c:pt>
                <c:pt idx="13">
                  <c:v>32.158000000000001</c:v>
                </c:pt>
                <c:pt idx="14" formatCode="#\ ##0.00_ ;[Red]\-#\ ##0.00\ ">
                  <c:v>29.905999999999999</c:v>
                </c:pt>
                <c:pt idx="15" formatCode="#\ ##0.00_ ;[Red]\-#\ ##0.00\ ">
                  <c:v>30.3872</c:v>
                </c:pt>
                <c:pt idx="16" formatCode="#\ ##0.00_ ;[Red]\-#\ ##0.00\ ">
                  <c:v>31.0976</c:v>
                </c:pt>
                <c:pt idx="17" formatCode="#\ ##0.00_ ;[Red]\-#\ ##0.00\ ">
                  <c:v>31.456</c:v>
                </c:pt>
              </c:numCache>
            </c:numRef>
          </c:val>
        </c:ser>
        <c:ser>
          <c:idx val="1"/>
          <c:order val="1"/>
          <c:tx>
            <c:strRef>
              <c:f>SCA!$B$4</c:f>
              <c:strCache>
                <c:ptCount val="1"/>
                <c:pt idx="0">
                  <c:v>Kapitał obcy długoterminowy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SCA!$C$4:$T$4</c:f>
              <c:numCache>
                <c:formatCode>"zł"#,##0.00_);[Red]\("zł"#,##0.00\)</c:formatCode>
                <c:ptCount val="18"/>
                <c:pt idx="0">
                  <c:v>6.0683999999999996</c:v>
                </c:pt>
                <c:pt idx="1">
                  <c:v>5.7723999999999993</c:v>
                </c:pt>
                <c:pt idx="2">
                  <c:v>5.3140000000000001</c:v>
                </c:pt>
                <c:pt idx="3">
                  <c:v>4.9192</c:v>
                </c:pt>
                <c:pt idx="4">
                  <c:v>4.3212000000000002</c:v>
                </c:pt>
                <c:pt idx="5">
                  <c:v>3.8919999999999999</c:v>
                </c:pt>
                <c:pt idx="6">
                  <c:v>3.5131999999999999</c:v>
                </c:pt>
                <c:pt idx="7">
                  <c:v>3.2303999999999999</c:v>
                </c:pt>
                <c:pt idx="8">
                  <c:v>3.2831999999999999</c:v>
                </c:pt>
                <c:pt idx="9">
                  <c:v>4.4672000000000001</c:v>
                </c:pt>
                <c:pt idx="10">
                  <c:v>4.4183999999999992</c:v>
                </c:pt>
                <c:pt idx="11">
                  <c:v>3.1160000000000001</c:v>
                </c:pt>
                <c:pt idx="12">
                  <c:v>4.2396000000000003</c:v>
                </c:pt>
                <c:pt idx="13">
                  <c:v>4.1663999999999994</c:v>
                </c:pt>
                <c:pt idx="14" formatCode="#\ ##0.00_ ;[Red]\-#\ ##0.00\ ">
                  <c:v>4.1251999999999995</c:v>
                </c:pt>
                <c:pt idx="15" formatCode="#\ ##0.00_ ;[Red]\-#\ ##0.00\ ">
                  <c:v>4.0728</c:v>
                </c:pt>
                <c:pt idx="16" formatCode="#\ ##0.00_ ;[Red]\-#\ ##0.00\ ">
                  <c:v>4.0991999999999997</c:v>
                </c:pt>
                <c:pt idx="17" formatCode="#\ ##0.00_ ;[Red]\-#\ ##0.00\ ">
                  <c:v>4.0796000000000001</c:v>
                </c:pt>
              </c:numCache>
            </c:numRef>
          </c:val>
        </c:ser>
        <c:ser>
          <c:idx val="2"/>
          <c:order val="2"/>
          <c:tx>
            <c:strRef>
              <c:f>SCA!$B$5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SCA!$C$5:$T$5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#\ ##0.00_ ;[Red]\-#\ ##0.00\ ">
                  <c:v>2.5</c:v>
                </c:pt>
                <c:pt idx="15" formatCode="#\ ##0.00_ ;[Red]\-#\ ##0.00\ ">
                  <c:v>2.9</c:v>
                </c:pt>
                <c:pt idx="16" formatCode="#\ ##0.00_ ;[Red]\-#\ ##0.00\ ">
                  <c:v>2.9</c:v>
                </c:pt>
                <c:pt idx="17" formatCode="#\ ##0.00_ ;[Red]\-#\ ##0.00\ ">
                  <c:v>2.9</c:v>
                </c:pt>
              </c:numCache>
            </c:numRef>
          </c:val>
        </c:ser>
        <c:ser>
          <c:idx val="3"/>
          <c:order val="3"/>
          <c:tx>
            <c:strRef>
              <c:f>SCA!$B$6</c:f>
              <c:strCache>
                <c:ptCount val="1"/>
                <c:pt idx="0">
                  <c:v>Wartość firmy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SCA!$C$6:$T$6</c:f>
              <c:numCache>
                <c:formatCode>"zł"#,##0.00_);[Red]\("zł"#,##0.00\)</c:formatCode>
                <c:ptCount val="18"/>
                <c:pt idx="0">
                  <c:v>-18.628399999999999</c:v>
                </c:pt>
                <c:pt idx="1">
                  <c:v>1.2268000000000043</c:v>
                </c:pt>
                <c:pt idx="2">
                  <c:v>3.2048000000000023</c:v>
                </c:pt>
                <c:pt idx="3">
                  <c:v>2.1015999999999941</c:v>
                </c:pt>
                <c:pt idx="4">
                  <c:v>-4.4051999999999971</c:v>
                </c:pt>
                <c:pt idx="5">
                  <c:v>-0.77120000000000033</c:v>
                </c:pt>
                <c:pt idx="6">
                  <c:v>-6.1147999999999989</c:v>
                </c:pt>
                <c:pt idx="7">
                  <c:v>-6.5528000000000013</c:v>
                </c:pt>
                <c:pt idx="8">
                  <c:v>-7.5456000000000003</c:v>
                </c:pt>
                <c:pt idx="9">
                  <c:v>-10.206400000000002</c:v>
                </c:pt>
                <c:pt idx="10">
                  <c:v>-8.9059999999999988</c:v>
                </c:pt>
                <c:pt idx="11">
                  <c:v>-10.661200000000001</c:v>
                </c:pt>
                <c:pt idx="12">
                  <c:v>-19.623600000000003</c:v>
                </c:pt>
                <c:pt idx="13">
                  <c:v>-19.824400000000004</c:v>
                </c:pt>
                <c:pt idx="14" formatCode="#\ ##0.00_ ;[Red]\-#\ ##0.00\ ">
                  <c:v>-15.8812</c:v>
                </c:pt>
                <c:pt idx="15" formatCode="#\ ##0.00_ ;[Red]\-#\ ##0.00\ ">
                  <c:v>-14.86</c:v>
                </c:pt>
                <c:pt idx="16" formatCode="#\ ##0.00_ ;[Red]\-#\ ##0.00\ ">
                  <c:v>-15.4968</c:v>
                </c:pt>
                <c:pt idx="17" formatCode="#\ ##0.00_ ;[Red]\-#\ ##0.00\ ">
                  <c:v>-10.685599999999994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947584"/>
        <c:axId val="267944056"/>
      </c:areaChart>
      <c:catAx>
        <c:axId val="2679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67944056"/>
        <c:crosses val="autoZero"/>
        <c:auto val="1"/>
        <c:lblAlgn val="ctr"/>
        <c:lblOffset val="100"/>
        <c:noMultiLvlLbl val="0"/>
      </c:catAx>
      <c:valAx>
        <c:axId val="26794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67947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baseline="0"/>
              <a:t>Novita - struktura ceny akcji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SCA!$B$3</c:f>
              <c:strCache>
                <c:ptCount val="1"/>
                <c:pt idx="0">
                  <c:v>Kapitał własny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SCA!$C$3:$T$3</c:f>
              <c:numCache>
                <c:formatCode>"zł"#,##0.00_);[Red]\("zł"#,##0.00\)</c:formatCode>
                <c:ptCount val="18"/>
                <c:pt idx="0">
                  <c:v>26.31</c:v>
                </c:pt>
                <c:pt idx="1">
                  <c:v>26.880800000000001</c:v>
                </c:pt>
                <c:pt idx="2">
                  <c:v>25.4312</c:v>
                </c:pt>
                <c:pt idx="3">
                  <c:v>26.279199999999999</c:v>
                </c:pt>
                <c:pt idx="4">
                  <c:v>26.143999999999998</c:v>
                </c:pt>
                <c:pt idx="5">
                  <c:v>26.3992</c:v>
                </c:pt>
                <c:pt idx="6">
                  <c:v>24.901599999999998</c:v>
                </c:pt>
                <c:pt idx="7">
                  <c:v>25.602400000000003</c:v>
                </c:pt>
                <c:pt idx="8">
                  <c:v>26.162400000000002</c:v>
                </c:pt>
                <c:pt idx="9">
                  <c:v>32.239200000000004</c:v>
                </c:pt>
                <c:pt idx="10">
                  <c:v>30.3476</c:v>
                </c:pt>
                <c:pt idx="11">
                  <c:v>25.2652</c:v>
                </c:pt>
                <c:pt idx="12">
                  <c:v>31.533999999999999</c:v>
                </c:pt>
                <c:pt idx="13">
                  <c:v>32.158000000000001</c:v>
                </c:pt>
                <c:pt idx="14" formatCode="#\ ##0.00_ ;[Red]\-#\ ##0.00\ ">
                  <c:v>29.905999999999999</c:v>
                </c:pt>
                <c:pt idx="15" formatCode="#\ ##0.00_ ;[Red]\-#\ ##0.00\ ">
                  <c:v>30.3872</c:v>
                </c:pt>
                <c:pt idx="16" formatCode="#\ ##0.00_ ;[Red]\-#\ ##0.00\ ">
                  <c:v>31.0976</c:v>
                </c:pt>
                <c:pt idx="17" formatCode="#\ ##0.00_ ;[Red]\-#\ ##0.00\ ">
                  <c:v>31.456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SCA!$B$4</c:f>
              <c:strCache>
                <c:ptCount val="1"/>
                <c:pt idx="0">
                  <c:v>Kapitał obcy długoterminowy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SCA!$C$4:$T$4</c:f>
              <c:numCache>
                <c:formatCode>"zł"#,##0.00_);[Red]\("zł"#,##0.00\)</c:formatCode>
                <c:ptCount val="18"/>
                <c:pt idx="0">
                  <c:v>6.0683999999999996</c:v>
                </c:pt>
                <c:pt idx="1">
                  <c:v>5.7723999999999993</c:v>
                </c:pt>
                <c:pt idx="2">
                  <c:v>5.3140000000000001</c:v>
                </c:pt>
                <c:pt idx="3">
                  <c:v>4.9192</c:v>
                </c:pt>
                <c:pt idx="4">
                  <c:v>4.3212000000000002</c:v>
                </c:pt>
                <c:pt idx="5">
                  <c:v>3.8919999999999999</c:v>
                </c:pt>
                <c:pt idx="6">
                  <c:v>3.5131999999999999</c:v>
                </c:pt>
                <c:pt idx="7">
                  <c:v>3.2303999999999999</c:v>
                </c:pt>
                <c:pt idx="8">
                  <c:v>3.2831999999999999</c:v>
                </c:pt>
                <c:pt idx="9">
                  <c:v>4.4672000000000001</c:v>
                </c:pt>
                <c:pt idx="10">
                  <c:v>4.4183999999999992</c:v>
                </c:pt>
                <c:pt idx="11">
                  <c:v>3.1160000000000001</c:v>
                </c:pt>
                <c:pt idx="12">
                  <c:v>4.2396000000000003</c:v>
                </c:pt>
                <c:pt idx="13">
                  <c:v>4.1663999999999994</c:v>
                </c:pt>
                <c:pt idx="14" formatCode="#\ ##0.00_ ;[Red]\-#\ ##0.00\ ">
                  <c:v>4.1251999999999995</c:v>
                </c:pt>
                <c:pt idx="15" formatCode="#\ ##0.00_ ;[Red]\-#\ ##0.00\ ">
                  <c:v>4.0728</c:v>
                </c:pt>
                <c:pt idx="16" formatCode="#\ ##0.00_ ;[Red]\-#\ ##0.00\ ">
                  <c:v>4.0991999999999997</c:v>
                </c:pt>
                <c:pt idx="17" formatCode="#\ ##0.00_ ;[Red]\-#\ ##0.00\ ">
                  <c:v>4.0796000000000001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SCA!$B$5</c:f>
              <c:strCache>
                <c:ptCount val="1"/>
                <c:pt idx="0">
                  <c:v>Dywidenda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SCA!$C$5:$T$5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#\ ##0.00_ ;[Red]\-#\ ##0.00\ ">
                  <c:v>2.5</c:v>
                </c:pt>
                <c:pt idx="15" formatCode="#\ ##0.00_ ;[Red]\-#\ ##0.00\ ">
                  <c:v>2.9</c:v>
                </c:pt>
                <c:pt idx="16" formatCode="#\ ##0.00_ ;[Red]\-#\ ##0.00\ ">
                  <c:v>2.9</c:v>
                </c:pt>
                <c:pt idx="17" formatCode="#\ ##0.00_ ;[Red]\-#\ ##0.00\ ">
                  <c:v>2.9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SCA!$B$6</c:f>
              <c:strCache>
                <c:ptCount val="1"/>
                <c:pt idx="0">
                  <c:v>Wartość firmy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SCA!$C$2:$T$2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SCA!$C$6:$T$6</c:f>
              <c:numCache>
                <c:formatCode>"zł"#,##0.00_);[Red]\("zł"#,##0.00\)</c:formatCode>
                <c:ptCount val="18"/>
                <c:pt idx="0">
                  <c:v>-18.628399999999999</c:v>
                </c:pt>
                <c:pt idx="1">
                  <c:v>1.2268000000000043</c:v>
                </c:pt>
                <c:pt idx="2">
                  <c:v>3.2048000000000023</c:v>
                </c:pt>
                <c:pt idx="3">
                  <c:v>2.1015999999999941</c:v>
                </c:pt>
                <c:pt idx="4">
                  <c:v>-4.4051999999999971</c:v>
                </c:pt>
                <c:pt idx="5">
                  <c:v>-0.77120000000000033</c:v>
                </c:pt>
                <c:pt idx="6">
                  <c:v>-6.1147999999999989</c:v>
                </c:pt>
                <c:pt idx="7">
                  <c:v>-6.5528000000000013</c:v>
                </c:pt>
                <c:pt idx="8">
                  <c:v>-7.5456000000000003</c:v>
                </c:pt>
                <c:pt idx="9">
                  <c:v>-10.206400000000002</c:v>
                </c:pt>
                <c:pt idx="10">
                  <c:v>-8.9059999999999988</c:v>
                </c:pt>
                <c:pt idx="11">
                  <c:v>-10.661200000000001</c:v>
                </c:pt>
                <c:pt idx="12">
                  <c:v>-19.623600000000003</c:v>
                </c:pt>
                <c:pt idx="13">
                  <c:v>-19.824400000000004</c:v>
                </c:pt>
                <c:pt idx="14" formatCode="#\ ##0.00_ ;[Red]\-#\ ##0.00\ ">
                  <c:v>-15.8812</c:v>
                </c:pt>
                <c:pt idx="15" formatCode="#\ ##0.00_ ;[Red]\-#\ ##0.00\ ">
                  <c:v>-14.86</c:v>
                </c:pt>
                <c:pt idx="16" formatCode="#\ ##0.00_ ;[Red]\-#\ ##0.00\ ">
                  <c:v>-15.4968</c:v>
                </c:pt>
                <c:pt idx="17" formatCode="#\ ##0.00_ ;[Red]\-#\ ##0.00\ ">
                  <c:v>-10.685599999999994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43664"/>
        <c:axId val="267940136"/>
      </c:lineChart>
      <c:catAx>
        <c:axId val="26794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67940136"/>
        <c:crosses val="autoZero"/>
        <c:auto val="1"/>
        <c:lblAlgn val="ctr"/>
        <c:lblOffset val="100"/>
        <c:noMultiLvlLbl val="0"/>
      </c:catAx>
      <c:valAx>
        <c:axId val="26794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6794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Novita</a:t>
            </a:r>
            <a:r>
              <a:rPr lang="pl-PL" b="1" baseline="0"/>
              <a:t> - kurs akcji i wartość księgowa na akcję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SCA!$B$13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SCA!$C$13:$T$13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</c:numCache>
            </c:numRef>
          </c:val>
        </c:ser>
        <c:ser>
          <c:idx val="1"/>
          <c:order val="1"/>
          <c:tx>
            <c:strRef>
              <c:f>SCA!$B$14</c:f>
              <c:strCache>
                <c:ptCount val="1"/>
                <c:pt idx="0">
                  <c:v>Kurs akcji (wartość rynkowa)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SCA!$C$14:$T$14</c:f>
              <c:numCache>
                <c:formatCode>"zł"#,##0.00_);[Red]\("zł"#,##0.00\)</c:formatCode>
                <c:ptCount val="18"/>
                <c:pt idx="0">
                  <c:v>13.75</c:v>
                </c:pt>
                <c:pt idx="1">
                  <c:v>33.880000000000003</c:v>
                </c:pt>
                <c:pt idx="2">
                  <c:v>33.950000000000003</c:v>
                </c:pt>
                <c:pt idx="3">
                  <c:v>35</c:v>
                </c:pt>
                <c:pt idx="4">
                  <c:v>27.76</c:v>
                </c:pt>
                <c:pt idx="5">
                  <c:v>31.22</c:v>
                </c:pt>
                <c:pt idx="6">
                  <c:v>24</c:v>
                </c:pt>
                <c:pt idx="7">
                  <c:v>24.380000000000003</c:v>
                </c:pt>
                <c:pt idx="8">
                  <c:v>24.000000000000004</c:v>
                </c:pt>
                <c:pt idx="9">
                  <c:v>28.6</c:v>
                </c:pt>
                <c:pt idx="10">
                  <c:v>27.96</c:v>
                </c:pt>
                <c:pt idx="11">
                  <c:v>20.22</c:v>
                </c:pt>
                <c:pt idx="12">
                  <c:v>18.649999999999999</c:v>
                </c:pt>
                <c:pt idx="13">
                  <c:v>18.999999999999993</c:v>
                </c:pt>
                <c:pt idx="14">
                  <c:v>20.65</c:v>
                </c:pt>
                <c:pt idx="15">
                  <c:v>22.5</c:v>
                </c:pt>
                <c:pt idx="16">
                  <c:v>22.599999999999994</c:v>
                </c:pt>
                <c:pt idx="17">
                  <c:v>27.750000000000007</c:v>
                </c:pt>
              </c:numCache>
            </c:numRef>
          </c:val>
        </c:ser>
        <c:ser>
          <c:idx val="2"/>
          <c:order val="2"/>
          <c:tx>
            <c:strRef>
              <c:f>SCA!$B$15</c:f>
              <c:strCache>
                <c:ptCount val="1"/>
                <c:pt idx="0">
                  <c:v>Wartość księgowa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SCA!$C$15:$T$15</c:f>
              <c:numCache>
                <c:formatCode>"zł"#,##0.00_);[Red]\("zł"#,##0.00\)</c:formatCode>
                <c:ptCount val="18"/>
                <c:pt idx="0">
                  <c:v>26.31</c:v>
                </c:pt>
                <c:pt idx="1">
                  <c:v>26.880800000000001</c:v>
                </c:pt>
                <c:pt idx="2">
                  <c:v>25.4312</c:v>
                </c:pt>
                <c:pt idx="3">
                  <c:v>26.279199999999999</c:v>
                </c:pt>
                <c:pt idx="4">
                  <c:v>26.143999999999998</c:v>
                </c:pt>
                <c:pt idx="5">
                  <c:v>26.3992</c:v>
                </c:pt>
                <c:pt idx="6">
                  <c:v>24.901599999999998</c:v>
                </c:pt>
                <c:pt idx="7">
                  <c:v>25.602400000000003</c:v>
                </c:pt>
                <c:pt idx="8">
                  <c:v>26.162400000000002</c:v>
                </c:pt>
                <c:pt idx="9">
                  <c:v>32.239200000000004</c:v>
                </c:pt>
                <c:pt idx="10">
                  <c:v>30.3476</c:v>
                </c:pt>
                <c:pt idx="11">
                  <c:v>25.2652</c:v>
                </c:pt>
                <c:pt idx="12">
                  <c:v>31.533999999999999</c:v>
                </c:pt>
                <c:pt idx="13">
                  <c:v>32.158000000000001</c:v>
                </c:pt>
                <c:pt idx="14">
                  <c:v>29.905999999999999</c:v>
                </c:pt>
                <c:pt idx="15">
                  <c:v>30.3872</c:v>
                </c:pt>
                <c:pt idx="16">
                  <c:v>31.0976</c:v>
                </c:pt>
                <c:pt idx="17">
                  <c:v>31.456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525640"/>
        <c:axId val="294526032"/>
        <c:axId val="449905792"/>
      </c:area3DChart>
      <c:catAx>
        <c:axId val="29452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4526032"/>
        <c:crosses val="autoZero"/>
        <c:auto val="1"/>
        <c:lblAlgn val="ctr"/>
        <c:lblOffset val="100"/>
        <c:noMultiLvlLbl val="0"/>
      </c:catAx>
      <c:valAx>
        <c:axId val="29452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4525640"/>
        <c:crosses val="autoZero"/>
        <c:crossBetween val="midCat"/>
      </c:valAx>
      <c:serAx>
        <c:axId val="449905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452603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16</xdr:row>
      <xdr:rowOff>147637</xdr:rowOff>
    </xdr:from>
    <xdr:to>
      <xdr:col>19</xdr:col>
      <xdr:colOff>228600</xdr:colOff>
      <xdr:row>31</xdr:row>
      <xdr:rowOff>33337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32</xdr:row>
      <xdr:rowOff>14287</xdr:rowOff>
    </xdr:from>
    <xdr:to>
      <xdr:col>19</xdr:col>
      <xdr:colOff>228600</xdr:colOff>
      <xdr:row>46</xdr:row>
      <xdr:rowOff>90487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847725</xdr:colOff>
      <xdr:row>17</xdr:row>
      <xdr:rowOff>14287</xdr:rowOff>
    </xdr:from>
    <xdr:to>
      <xdr:col>7</xdr:col>
      <xdr:colOff>38100</xdr:colOff>
      <xdr:row>31</xdr:row>
      <xdr:rowOff>90487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3/Desktop/Roj/kursynowe/NOV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29">
          <cell r="E129">
            <v>13.75</v>
          </cell>
        </row>
        <row r="191">
          <cell r="E191">
            <v>33.880000000000003</v>
          </cell>
        </row>
        <row r="251">
          <cell r="E251">
            <v>33.950000000000003</v>
          </cell>
          <cell r="FQ251">
            <v>21.581646586345364</v>
          </cell>
        </row>
        <row r="317">
          <cell r="E317">
            <v>35</v>
          </cell>
          <cell r="FQ317">
            <v>24.824279999999995</v>
          </cell>
        </row>
        <row r="380">
          <cell r="E380">
            <v>27.76</v>
          </cell>
          <cell r="FQ380">
            <v>28.786095617529892</v>
          </cell>
        </row>
        <row r="443">
          <cell r="E443">
            <v>31.22</v>
          </cell>
          <cell r="FQ443">
            <v>30.672579365079354</v>
          </cell>
        </row>
        <row r="504">
          <cell r="E504">
            <v>24</v>
          </cell>
          <cell r="FQ504">
            <v>29.99252964426876</v>
          </cell>
        </row>
        <row r="570">
          <cell r="E570">
            <v>24.38</v>
          </cell>
          <cell r="FQ570">
            <v>27.310869565217359</v>
          </cell>
        </row>
        <row r="632">
          <cell r="E632">
            <v>24</v>
          </cell>
          <cell r="FQ632">
            <v>25.588373015873021</v>
          </cell>
        </row>
        <row r="693">
          <cell r="E693">
            <v>28.6</v>
          </cell>
          <cell r="FQ693">
            <v>25.282039999999999</v>
          </cell>
        </row>
        <row r="751">
          <cell r="E751">
            <v>27.96</v>
          </cell>
          <cell r="FQ751">
            <v>25.10854251012146</v>
          </cell>
        </row>
        <row r="812">
          <cell r="E812">
            <v>20.22</v>
          </cell>
          <cell r="FQ812">
            <v>24.733842975206617</v>
          </cell>
        </row>
        <row r="869">
          <cell r="E869">
            <v>18.649999999999999</v>
          </cell>
          <cell r="FQ869">
            <v>23.468185654008451</v>
          </cell>
        </row>
        <row r="923">
          <cell r="E923">
            <v>19</v>
          </cell>
          <cell r="FQ923">
            <v>21.86969565217392</v>
          </cell>
        </row>
        <row r="972">
          <cell r="E972">
            <v>20.65</v>
          </cell>
          <cell r="FQ972">
            <v>19.963755656108592</v>
          </cell>
        </row>
        <row r="1035">
          <cell r="E1035">
            <v>22.5</v>
          </cell>
          <cell r="FQ1035">
            <v>19.402062780269063</v>
          </cell>
        </row>
        <row r="1096">
          <cell r="E1096">
            <v>22.6</v>
          </cell>
          <cell r="FQ1096">
            <v>20.004052863436122</v>
          </cell>
        </row>
        <row r="1155">
          <cell r="E1155">
            <v>27.75</v>
          </cell>
          <cell r="FQ1155">
            <v>21.568620689655173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04"/>
  <sheetViews>
    <sheetView tabSelected="1" workbookViewId="0">
      <pane xSplit="2" ySplit="2" topLeftCell="C77" activePane="bottomRight" state="frozen"/>
      <selection pane="topRight" activeCell="C1" sqref="C1"/>
      <selection pane="bottomLeft" activeCell="A3" sqref="A3"/>
      <selection pane="bottomRight" activeCell="I23" sqref="I23:L23"/>
    </sheetView>
  </sheetViews>
  <sheetFormatPr defaultColWidth="8.7109375" defaultRowHeight="15" x14ac:dyDescent="0.25"/>
  <cols>
    <col min="1" max="1" width="2.85546875" customWidth="1"/>
    <col min="2" max="2" width="41.42578125" customWidth="1"/>
    <col min="3" max="3" width="9.7109375" customWidth="1"/>
    <col min="4" max="6" width="9.7109375" hidden="1" customWidth="1"/>
    <col min="7" max="24" width="12.7109375" customWidth="1"/>
    <col min="25" max="25" width="2.5703125" customWidth="1"/>
    <col min="26" max="26" width="10.28515625" bestFit="1" customWidth="1"/>
    <col min="27" max="27" width="10.28515625" customWidth="1"/>
  </cols>
  <sheetData>
    <row r="2" spans="2:24" x14ac:dyDescent="0.25">
      <c r="B2" s="9" t="s">
        <v>168</v>
      </c>
      <c r="C2" s="26" t="s">
        <v>125</v>
      </c>
      <c r="D2" s="26" t="s">
        <v>131</v>
      </c>
      <c r="E2" s="26" t="s">
        <v>132</v>
      </c>
      <c r="F2" s="26" t="s">
        <v>133</v>
      </c>
      <c r="G2" s="26" t="s">
        <v>134</v>
      </c>
      <c r="H2" s="26" t="s">
        <v>21</v>
      </c>
      <c r="I2" s="26" t="s">
        <v>25</v>
      </c>
      <c r="J2" s="26" t="s">
        <v>26</v>
      </c>
      <c r="K2" s="26" t="s">
        <v>27</v>
      </c>
      <c r="L2" s="26" t="s">
        <v>28</v>
      </c>
      <c r="M2" s="26" t="s">
        <v>29</v>
      </c>
      <c r="N2" s="26" t="s">
        <v>30</v>
      </c>
      <c r="O2" s="26" t="s">
        <v>31</v>
      </c>
      <c r="P2" s="26" t="s">
        <v>32</v>
      </c>
      <c r="Q2" s="26" t="s">
        <v>33</v>
      </c>
      <c r="R2" s="26" t="s">
        <v>34</v>
      </c>
      <c r="S2" s="26" t="s">
        <v>35</v>
      </c>
      <c r="T2" s="26" t="s">
        <v>36</v>
      </c>
      <c r="U2" s="26" t="s">
        <v>37</v>
      </c>
      <c r="V2" s="26" t="s">
        <v>38</v>
      </c>
      <c r="W2" s="26" t="s">
        <v>39</v>
      </c>
      <c r="X2" s="26" t="s">
        <v>40</v>
      </c>
    </row>
    <row r="3" spans="2:24" x14ac:dyDescent="0.25">
      <c r="D3" s="5"/>
      <c r="E3" s="5"/>
      <c r="F3" s="5"/>
    </row>
    <row r="4" spans="2:24" x14ac:dyDescent="0.25">
      <c r="B4" s="9" t="s">
        <v>10</v>
      </c>
      <c r="C4" s="11"/>
      <c r="D4" s="11"/>
      <c r="E4" s="11"/>
      <c r="F4" s="11"/>
      <c r="G4" s="11"/>
    </row>
    <row r="5" spans="2:24" x14ac:dyDescent="0.25">
      <c r="D5" s="5"/>
      <c r="E5" s="5"/>
      <c r="F5" s="5"/>
    </row>
    <row r="6" spans="2:24" x14ac:dyDescent="0.25">
      <c r="B6" s="1" t="s">
        <v>4</v>
      </c>
      <c r="C6" s="1" t="s">
        <v>124</v>
      </c>
      <c r="D6" s="5"/>
      <c r="E6" s="5"/>
      <c r="F6" s="5"/>
      <c r="G6" s="3">
        <v>75669</v>
      </c>
      <c r="H6" s="3">
        <v>74061</v>
      </c>
      <c r="I6" s="3">
        <v>72394</v>
      </c>
      <c r="J6" s="3">
        <v>70871</v>
      </c>
      <c r="K6" s="3">
        <v>68799</v>
      </c>
      <c r="L6" s="3">
        <v>67528</v>
      </c>
      <c r="M6" s="3">
        <v>66719</v>
      </c>
      <c r="N6" s="3">
        <v>66371</v>
      </c>
      <c r="O6" s="3">
        <v>66844</v>
      </c>
      <c r="P6" s="3">
        <v>83240</v>
      </c>
      <c r="Q6" s="3">
        <v>82471</v>
      </c>
      <c r="R6" s="3">
        <v>64043</v>
      </c>
      <c r="S6" s="3">
        <v>81433</v>
      </c>
      <c r="T6" s="3">
        <v>80224</v>
      </c>
      <c r="U6" s="3">
        <v>80274</v>
      </c>
      <c r="V6" s="3">
        <v>79404</v>
      </c>
      <c r="W6" s="3">
        <v>78972</v>
      </c>
      <c r="X6" s="3">
        <v>77735</v>
      </c>
    </row>
    <row r="7" spans="2:24" x14ac:dyDescent="0.25">
      <c r="D7" s="5"/>
      <c r="E7" s="5"/>
      <c r="F7" s="5"/>
    </row>
    <row r="8" spans="2:24" x14ac:dyDescent="0.25">
      <c r="B8" s="6" t="s">
        <v>3</v>
      </c>
      <c r="C8" s="1" t="s">
        <v>124</v>
      </c>
      <c r="D8" s="5"/>
      <c r="E8" s="5"/>
      <c r="F8" s="5"/>
      <c r="G8" s="7">
        <v>1651</v>
      </c>
      <c r="H8" s="7">
        <v>1275</v>
      </c>
      <c r="I8" s="7">
        <v>7067</v>
      </c>
      <c r="J8" s="7">
        <v>4021</v>
      </c>
      <c r="K8" s="7">
        <v>2914</v>
      </c>
      <c r="L8" s="7">
        <v>1265</v>
      </c>
      <c r="M8" s="7">
        <v>472</v>
      </c>
      <c r="N8" s="7">
        <v>428</v>
      </c>
      <c r="O8" s="7">
        <v>1322</v>
      </c>
      <c r="P8" s="7">
        <v>877</v>
      </c>
      <c r="Q8" s="7">
        <v>409</v>
      </c>
      <c r="R8" s="7">
        <v>675</v>
      </c>
      <c r="S8" s="7">
        <v>4381</v>
      </c>
      <c r="T8" s="7">
        <v>1116</v>
      </c>
      <c r="U8" s="7">
        <v>1484</v>
      </c>
      <c r="V8" s="7">
        <v>1370</v>
      </c>
      <c r="W8" s="7">
        <v>1224</v>
      </c>
      <c r="X8" s="7">
        <v>664</v>
      </c>
    </row>
    <row r="9" spans="2:24" x14ac:dyDescent="0.25">
      <c r="B9" s="8" t="s">
        <v>11</v>
      </c>
      <c r="C9" s="1" t="s">
        <v>124</v>
      </c>
      <c r="D9" s="5"/>
      <c r="E9" s="5"/>
      <c r="F9" s="5"/>
      <c r="G9" s="7">
        <f t="shared" ref="G9:H9" si="0">+G10-G8</f>
        <v>18341</v>
      </c>
      <c r="H9" s="7">
        <f t="shared" si="0"/>
        <v>22303</v>
      </c>
      <c r="I9" s="7">
        <f t="shared" ref="I9:X9" si="1">+I10-I8</f>
        <v>20438</v>
      </c>
      <c r="J9" s="7">
        <f t="shared" si="1"/>
        <v>18859</v>
      </c>
      <c r="K9" s="7">
        <f t="shared" si="1"/>
        <v>15439</v>
      </c>
      <c r="L9" s="7">
        <f t="shared" si="1"/>
        <v>20694</v>
      </c>
      <c r="M9" s="7">
        <f t="shared" si="1"/>
        <v>26626</v>
      </c>
      <c r="N9" s="7">
        <f t="shared" si="1"/>
        <v>23132</v>
      </c>
      <c r="O9" s="7">
        <f t="shared" si="1"/>
        <v>19181</v>
      </c>
      <c r="P9" s="7">
        <f t="shared" si="1"/>
        <v>24537</v>
      </c>
      <c r="Q9" s="7">
        <f t="shared" si="1"/>
        <v>24397</v>
      </c>
      <c r="R9" s="7">
        <f t="shared" si="1"/>
        <v>22506</v>
      </c>
      <c r="S9" s="7">
        <f t="shared" si="1"/>
        <v>19859</v>
      </c>
      <c r="T9" s="7">
        <f t="shared" si="1"/>
        <v>23153</v>
      </c>
      <c r="U9" s="7">
        <f t="shared" si="1"/>
        <v>21524</v>
      </c>
      <c r="V9" s="7">
        <f t="shared" si="1"/>
        <v>20497</v>
      </c>
      <c r="W9" s="7">
        <f t="shared" si="1"/>
        <v>16799</v>
      </c>
      <c r="X9" s="7">
        <f t="shared" si="1"/>
        <v>20193</v>
      </c>
    </row>
    <row r="10" spans="2:24" x14ac:dyDescent="0.25">
      <c r="B10" s="1" t="s">
        <v>5</v>
      </c>
      <c r="C10" s="1" t="s">
        <v>124</v>
      </c>
      <c r="D10" s="5"/>
      <c r="E10" s="5"/>
      <c r="F10" s="5"/>
      <c r="G10" s="3">
        <v>19992</v>
      </c>
      <c r="H10" s="3">
        <v>23578</v>
      </c>
      <c r="I10" s="3">
        <v>27505</v>
      </c>
      <c r="J10" s="3">
        <v>22880</v>
      </c>
      <c r="K10" s="3">
        <v>18353</v>
      </c>
      <c r="L10" s="3">
        <v>21959</v>
      </c>
      <c r="M10" s="3">
        <v>27098</v>
      </c>
      <c r="N10" s="3">
        <v>23560</v>
      </c>
      <c r="O10" s="3">
        <v>20503</v>
      </c>
      <c r="P10" s="3">
        <v>25414</v>
      </c>
      <c r="Q10" s="3">
        <v>24806</v>
      </c>
      <c r="R10" s="3">
        <v>23181</v>
      </c>
      <c r="S10" s="3">
        <v>24240</v>
      </c>
      <c r="T10" s="3">
        <v>24269</v>
      </c>
      <c r="U10" s="3">
        <v>23008</v>
      </c>
      <c r="V10" s="3">
        <v>21867</v>
      </c>
      <c r="W10" s="3">
        <v>18023</v>
      </c>
      <c r="X10" s="3">
        <v>20857</v>
      </c>
    </row>
    <row r="11" spans="2:24" x14ac:dyDescent="0.25">
      <c r="D11" s="5"/>
      <c r="E11" s="5"/>
      <c r="F11" s="5"/>
    </row>
    <row r="12" spans="2:24" x14ac:dyDescent="0.25">
      <c r="B12" s="1" t="s">
        <v>12</v>
      </c>
      <c r="C12" s="1" t="s">
        <v>124</v>
      </c>
      <c r="D12" s="5"/>
      <c r="E12" s="5"/>
      <c r="F12" s="5"/>
      <c r="G12" s="3">
        <f t="shared" ref="G12:H12" si="2">+G14-G6-G10</f>
        <v>0</v>
      </c>
      <c r="H12" s="3">
        <f t="shared" si="2"/>
        <v>0</v>
      </c>
      <c r="I12" s="3">
        <f t="shared" ref="I12:X12" si="3">+I14-I6-I10</f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>
        <f t="shared" si="3"/>
        <v>0</v>
      </c>
      <c r="N12" s="3">
        <f t="shared" si="3"/>
        <v>0</v>
      </c>
      <c r="O12" s="3">
        <f t="shared" si="3"/>
        <v>0</v>
      </c>
      <c r="P12" s="3">
        <f t="shared" si="3"/>
        <v>0</v>
      </c>
      <c r="Q12" s="3">
        <f t="shared" si="3"/>
        <v>0</v>
      </c>
      <c r="R12" s="3">
        <f t="shared" si="3"/>
        <v>0</v>
      </c>
      <c r="S12" s="3">
        <f t="shared" si="3"/>
        <v>0</v>
      </c>
      <c r="T12" s="3">
        <f t="shared" si="3"/>
        <v>0</v>
      </c>
      <c r="U12" s="3">
        <f t="shared" si="3"/>
        <v>0</v>
      </c>
      <c r="V12" s="3">
        <f t="shared" si="3"/>
        <v>0</v>
      </c>
      <c r="W12" s="3">
        <f t="shared" si="3"/>
        <v>0</v>
      </c>
      <c r="X12" s="3">
        <f t="shared" si="3"/>
        <v>0</v>
      </c>
    </row>
    <row r="13" spans="2:24" x14ac:dyDescent="0.25">
      <c r="D13" s="5"/>
      <c r="E13" s="5"/>
      <c r="F13" s="5"/>
    </row>
    <row r="14" spans="2:24" x14ac:dyDescent="0.25">
      <c r="B14" s="9" t="s">
        <v>6</v>
      </c>
      <c r="C14" s="1" t="s">
        <v>124</v>
      </c>
      <c r="D14" s="5"/>
      <c r="E14" s="5"/>
      <c r="F14" s="5"/>
      <c r="G14" s="10">
        <v>95661</v>
      </c>
      <c r="H14" s="10">
        <v>97639</v>
      </c>
      <c r="I14" s="10">
        <v>99899</v>
      </c>
      <c r="J14" s="10">
        <v>93751</v>
      </c>
      <c r="K14" s="10">
        <v>87152</v>
      </c>
      <c r="L14" s="10">
        <v>89487</v>
      </c>
      <c r="M14" s="10">
        <v>93817</v>
      </c>
      <c r="N14" s="10">
        <v>89931</v>
      </c>
      <c r="O14" s="10">
        <v>87347</v>
      </c>
      <c r="P14" s="10">
        <v>108654</v>
      </c>
      <c r="Q14" s="10">
        <v>107277</v>
      </c>
      <c r="R14" s="10">
        <v>87224</v>
      </c>
      <c r="S14" s="10">
        <v>105673</v>
      </c>
      <c r="T14" s="10">
        <v>104493</v>
      </c>
      <c r="U14" s="10">
        <v>103282</v>
      </c>
      <c r="V14" s="10">
        <v>101271</v>
      </c>
      <c r="W14" s="10">
        <v>96995</v>
      </c>
      <c r="X14" s="10">
        <v>98592</v>
      </c>
    </row>
    <row r="15" spans="2:24" x14ac:dyDescent="0.25">
      <c r="D15" s="5"/>
      <c r="E15" s="5"/>
      <c r="F15" s="5"/>
    </row>
    <row r="16" spans="2:24" x14ac:dyDescent="0.25">
      <c r="B16" s="6" t="s">
        <v>8</v>
      </c>
      <c r="C16" s="1" t="s">
        <v>124</v>
      </c>
      <c r="D16" s="5"/>
      <c r="E16" s="5"/>
      <c r="F16" s="5"/>
      <c r="G16" s="7">
        <v>15171</v>
      </c>
      <c r="H16" s="7">
        <v>14431</v>
      </c>
      <c r="I16" s="7">
        <v>13285</v>
      </c>
      <c r="J16" s="7">
        <v>12298</v>
      </c>
      <c r="K16" s="7">
        <v>10803</v>
      </c>
      <c r="L16" s="7">
        <v>9730</v>
      </c>
      <c r="M16" s="7">
        <v>8783</v>
      </c>
      <c r="N16" s="7">
        <v>8076</v>
      </c>
      <c r="O16" s="7">
        <v>8208</v>
      </c>
      <c r="P16" s="7">
        <v>11168</v>
      </c>
      <c r="Q16" s="7">
        <v>11046</v>
      </c>
      <c r="R16" s="7">
        <v>7790</v>
      </c>
      <c r="S16" s="7">
        <v>10599</v>
      </c>
      <c r="T16" s="7">
        <v>10416</v>
      </c>
      <c r="U16" s="7">
        <v>10313</v>
      </c>
      <c r="V16" s="7">
        <v>10182</v>
      </c>
      <c r="W16" s="7">
        <v>10248</v>
      </c>
      <c r="X16" s="7">
        <v>10199</v>
      </c>
    </row>
    <row r="17" spans="2:24" x14ac:dyDescent="0.25">
      <c r="B17" s="6" t="s">
        <v>9</v>
      </c>
      <c r="C17" s="1" t="s">
        <v>124</v>
      </c>
      <c r="D17" s="5"/>
      <c r="E17" s="5"/>
      <c r="F17" s="5"/>
      <c r="G17" s="7">
        <v>14715</v>
      </c>
      <c r="H17" s="7">
        <v>16006</v>
      </c>
      <c r="I17" s="7">
        <v>23036</v>
      </c>
      <c r="J17" s="7">
        <v>15755</v>
      </c>
      <c r="K17" s="7">
        <v>10989</v>
      </c>
      <c r="L17" s="7">
        <v>13759</v>
      </c>
      <c r="M17" s="7">
        <v>22780</v>
      </c>
      <c r="N17" s="7">
        <v>17849</v>
      </c>
      <c r="O17" s="7">
        <v>13733</v>
      </c>
      <c r="P17" s="7">
        <v>16888</v>
      </c>
      <c r="Q17" s="7">
        <v>20362</v>
      </c>
      <c r="R17" s="7">
        <v>16271</v>
      </c>
      <c r="S17" s="7">
        <v>16239</v>
      </c>
      <c r="T17" s="7">
        <v>13682</v>
      </c>
      <c r="U17" s="7">
        <v>18204</v>
      </c>
      <c r="V17" s="7">
        <v>15121</v>
      </c>
      <c r="W17" s="7">
        <v>9003</v>
      </c>
      <c r="X17" s="7">
        <v>9753</v>
      </c>
    </row>
    <row r="18" spans="2:24" x14ac:dyDescent="0.25">
      <c r="B18" s="1" t="s">
        <v>13</v>
      </c>
      <c r="C18" s="1" t="s">
        <v>124</v>
      </c>
      <c r="D18" s="5"/>
      <c r="E18" s="5"/>
      <c r="F18" s="5"/>
      <c r="G18" s="3">
        <f t="shared" ref="G18:H18" si="4">+G17+G16</f>
        <v>29886</v>
      </c>
      <c r="H18" s="3">
        <f t="shared" si="4"/>
        <v>30437</v>
      </c>
      <c r="I18" s="3">
        <f t="shared" ref="I18:X18" si="5">+I17+I16</f>
        <v>36321</v>
      </c>
      <c r="J18" s="3">
        <f t="shared" si="5"/>
        <v>28053</v>
      </c>
      <c r="K18" s="3">
        <f t="shared" si="5"/>
        <v>21792</v>
      </c>
      <c r="L18" s="3">
        <f t="shared" si="5"/>
        <v>23489</v>
      </c>
      <c r="M18" s="3">
        <f t="shared" si="5"/>
        <v>31563</v>
      </c>
      <c r="N18" s="3">
        <f t="shared" si="5"/>
        <v>25925</v>
      </c>
      <c r="O18" s="3">
        <f t="shared" si="5"/>
        <v>21941</v>
      </c>
      <c r="P18" s="3">
        <f t="shared" si="5"/>
        <v>28056</v>
      </c>
      <c r="Q18" s="3">
        <f t="shared" si="5"/>
        <v>31408</v>
      </c>
      <c r="R18" s="3">
        <f t="shared" si="5"/>
        <v>24061</v>
      </c>
      <c r="S18" s="3">
        <f t="shared" si="5"/>
        <v>26838</v>
      </c>
      <c r="T18" s="3">
        <f t="shared" si="5"/>
        <v>24098</v>
      </c>
      <c r="U18" s="3">
        <f t="shared" si="5"/>
        <v>28517</v>
      </c>
      <c r="V18" s="3">
        <f t="shared" si="5"/>
        <v>25303</v>
      </c>
      <c r="W18" s="3">
        <f t="shared" si="5"/>
        <v>19251</v>
      </c>
      <c r="X18" s="3">
        <f t="shared" si="5"/>
        <v>19952</v>
      </c>
    </row>
    <row r="19" spans="2:24" x14ac:dyDescent="0.25">
      <c r="D19" s="5"/>
      <c r="E19" s="5"/>
      <c r="F19" s="5"/>
    </row>
    <row r="20" spans="2:24" x14ac:dyDescent="0.25">
      <c r="B20" s="6" t="s">
        <v>7</v>
      </c>
      <c r="C20" s="1" t="s">
        <v>124</v>
      </c>
      <c r="D20" s="5"/>
      <c r="E20" s="5"/>
      <c r="F20" s="5"/>
      <c r="G20" s="7">
        <v>5000</v>
      </c>
      <c r="H20" s="7">
        <v>5000</v>
      </c>
      <c r="I20" s="7">
        <v>5000</v>
      </c>
      <c r="J20" s="7">
        <v>5000</v>
      </c>
      <c r="K20" s="7">
        <v>5000</v>
      </c>
      <c r="L20" s="7">
        <v>5000</v>
      </c>
      <c r="M20" s="7">
        <v>5000</v>
      </c>
      <c r="N20" s="7">
        <v>5000</v>
      </c>
      <c r="O20" s="7">
        <v>5000</v>
      </c>
      <c r="P20" s="7">
        <v>5000</v>
      </c>
      <c r="Q20" s="7">
        <v>5000</v>
      </c>
      <c r="R20" s="7">
        <v>5000</v>
      </c>
      <c r="S20" s="7">
        <v>5000</v>
      </c>
      <c r="T20" s="7">
        <v>5000</v>
      </c>
      <c r="U20" s="7">
        <v>5000</v>
      </c>
      <c r="V20" s="7">
        <v>5000</v>
      </c>
      <c r="W20" s="7">
        <v>5000</v>
      </c>
      <c r="X20" s="7">
        <v>5000</v>
      </c>
    </row>
    <row r="21" spans="2:24" x14ac:dyDescent="0.25">
      <c r="B21" s="8" t="s">
        <v>14</v>
      </c>
      <c r="C21" s="1" t="s">
        <v>124</v>
      </c>
      <c r="D21" s="5"/>
      <c r="E21" s="5"/>
      <c r="F21" s="5"/>
      <c r="G21" s="7">
        <f t="shared" ref="G21:H21" si="6">+G22-G20</f>
        <v>60775</v>
      </c>
      <c r="H21" s="7">
        <f t="shared" si="6"/>
        <v>62202</v>
      </c>
      <c r="I21" s="7">
        <f t="shared" ref="I21:X21" si="7">+I22-I20</f>
        <v>58578</v>
      </c>
      <c r="J21" s="7">
        <f t="shared" si="7"/>
        <v>60698</v>
      </c>
      <c r="K21" s="7">
        <f t="shared" si="7"/>
        <v>60360</v>
      </c>
      <c r="L21" s="7">
        <f t="shared" si="7"/>
        <v>60998</v>
      </c>
      <c r="M21" s="7">
        <f t="shared" si="7"/>
        <v>57254</v>
      </c>
      <c r="N21" s="7">
        <f t="shared" si="7"/>
        <v>59006</v>
      </c>
      <c r="O21" s="7">
        <f t="shared" si="7"/>
        <v>60406</v>
      </c>
      <c r="P21" s="7">
        <f t="shared" si="7"/>
        <v>75598</v>
      </c>
      <c r="Q21" s="7">
        <f t="shared" si="7"/>
        <v>70869</v>
      </c>
      <c r="R21" s="7">
        <f t="shared" si="7"/>
        <v>58163</v>
      </c>
      <c r="S21" s="7">
        <f t="shared" si="7"/>
        <v>73835</v>
      </c>
      <c r="T21" s="7">
        <f t="shared" si="7"/>
        <v>75395</v>
      </c>
      <c r="U21" s="7">
        <f t="shared" si="7"/>
        <v>69765</v>
      </c>
      <c r="V21" s="7">
        <f t="shared" si="7"/>
        <v>70968</v>
      </c>
      <c r="W21" s="7">
        <f t="shared" si="7"/>
        <v>72744</v>
      </c>
      <c r="X21" s="7">
        <f t="shared" si="7"/>
        <v>73640</v>
      </c>
    </row>
    <row r="22" spans="2:24" x14ac:dyDescent="0.25">
      <c r="B22" s="1" t="s">
        <v>41</v>
      </c>
      <c r="C22" s="1" t="s">
        <v>124</v>
      </c>
      <c r="D22" s="5"/>
      <c r="E22" s="5"/>
      <c r="F22" s="5"/>
      <c r="G22" s="3">
        <f>+G23-2</f>
        <v>65775</v>
      </c>
      <c r="H22" s="3">
        <v>67202</v>
      </c>
      <c r="I22" s="3">
        <v>63578</v>
      </c>
      <c r="J22" s="3">
        <v>65698</v>
      </c>
      <c r="K22" s="3">
        <v>65360</v>
      </c>
      <c r="L22" s="3">
        <v>65998</v>
      </c>
      <c r="M22" s="3">
        <v>62254</v>
      </c>
      <c r="N22" s="3">
        <v>64006</v>
      </c>
      <c r="O22" s="3">
        <v>65406</v>
      </c>
      <c r="P22" s="3">
        <v>80598</v>
      </c>
      <c r="Q22" s="3">
        <v>75869</v>
      </c>
      <c r="R22" s="3">
        <v>63163</v>
      </c>
      <c r="S22" s="3">
        <v>78835</v>
      </c>
      <c r="T22" s="3">
        <v>80395</v>
      </c>
      <c r="U22" s="3">
        <v>74765</v>
      </c>
      <c r="V22" s="3">
        <v>75968</v>
      </c>
      <c r="W22" s="3">
        <v>77744</v>
      </c>
      <c r="X22" s="3">
        <v>78640</v>
      </c>
    </row>
    <row r="23" spans="2:24" ht="30" x14ac:dyDescent="0.25">
      <c r="B23" s="18" t="s">
        <v>163</v>
      </c>
      <c r="C23" s="8" t="s">
        <v>124</v>
      </c>
      <c r="D23" s="5"/>
      <c r="E23" s="5"/>
      <c r="F23" s="5"/>
      <c r="G23" s="7">
        <v>65777</v>
      </c>
      <c r="H23" s="7">
        <v>67202</v>
      </c>
      <c r="I23" s="3">
        <v>63578</v>
      </c>
      <c r="J23" s="3">
        <v>65698</v>
      </c>
      <c r="K23" s="3">
        <v>65360</v>
      </c>
      <c r="L23" s="3">
        <v>65998</v>
      </c>
      <c r="M23" s="3">
        <v>62254</v>
      </c>
      <c r="N23" s="3">
        <v>64006</v>
      </c>
      <c r="O23" s="3">
        <v>65406</v>
      </c>
      <c r="P23" s="3">
        <v>80598</v>
      </c>
      <c r="Q23" s="3">
        <v>75869</v>
      </c>
      <c r="R23" s="3">
        <v>63163</v>
      </c>
      <c r="S23" s="3">
        <v>78835</v>
      </c>
      <c r="T23" s="3">
        <v>80395</v>
      </c>
      <c r="U23" s="3">
        <v>74765</v>
      </c>
      <c r="V23" s="3">
        <v>75968</v>
      </c>
      <c r="W23" s="3">
        <v>77744</v>
      </c>
      <c r="X23" s="3">
        <v>78640</v>
      </c>
    </row>
    <row r="24" spans="2:24" x14ac:dyDescent="0.25">
      <c r="D24" s="5"/>
      <c r="E24" s="5"/>
      <c r="F24" s="5"/>
    </row>
    <row r="25" spans="2:24" x14ac:dyDescent="0.25">
      <c r="B25" s="1" t="s">
        <v>15</v>
      </c>
      <c r="C25" s="1" t="s">
        <v>124</v>
      </c>
      <c r="D25" s="5"/>
      <c r="E25" s="5"/>
      <c r="F25" s="5"/>
      <c r="G25" s="3">
        <f t="shared" ref="G25:H25" si="8">+G14-G18-G22</f>
        <v>0</v>
      </c>
      <c r="H25" s="3">
        <f t="shared" si="8"/>
        <v>0</v>
      </c>
      <c r="I25" s="3">
        <f t="shared" ref="I25:X25" si="9">+I14-I18-I22</f>
        <v>0</v>
      </c>
      <c r="J25" s="3">
        <f t="shared" si="9"/>
        <v>0</v>
      </c>
      <c r="K25" s="3">
        <f t="shared" si="9"/>
        <v>0</v>
      </c>
      <c r="L25" s="3">
        <f t="shared" si="9"/>
        <v>0</v>
      </c>
      <c r="M25" s="3">
        <f t="shared" si="9"/>
        <v>0</v>
      </c>
      <c r="N25" s="3">
        <f t="shared" si="9"/>
        <v>0</v>
      </c>
      <c r="O25" s="3">
        <f t="shared" si="9"/>
        <v>0</v>
      </c>
      <c r="P25" s="3">
        <f t="shared" si="9"/>
        <v>0</v>
      </c>
      <c r="Q25" s="3">
        <f t="shared" si="9"/>
        <v>0</v>
      </c>
      <c r="R25" s="3">
        <f t="shared" si="9"/>
        <v>0</v>
      </c>
      <c r="S25" s="3">
        <f t="shared" si="9"/>
        <v>0</v>
      </c>
      <c r="T25" s="3">
        <f t="shared" si="9"/>
        <v>0</v>
      </c>
      <c r="U25" s="3">
        <f t="shared" si="9"/>
        <v>0</v>
      </c>
      <c r="V25" s="3">
        <f t="shared" si="9"/>
        <v>0</v>
      </c>
      <c r="W25" s="3">
        <f t="shared" si="9"/>
        <v>0</v>
      </c>
      <c r="X25" s="3">
        <f t="shared" si="9"/>
        <v>0</v>
      </c>
    </row>
    <row r="26" spans="2:24" x14ac:dyDescent="0.25">
      <c r="D26" s="5"/>
      <c r="E26" s="5"/>
      <c r="F26" s="5"/>
    </row>
    <row r="27" spans="2:24" x14ac:dyDescent="0.25">
      <c r="B27" s="9" t="s">
        <v>16</v>
      </c>
      <c r="C27" s="1" t="s">
        <v>124</v>
      </c>
      <c r="D27" s="5"/>
      <c r="E27" s="5"/>
      <c r="F27" s="5"/>
      <c r="G27" s="10">
        <f t="shared" ref="G27:H27" si="10">+G18+G22+G25</f>
        <v>95661</v>
      </c>
      <c r="H27" s="10">
        <f t="shared" si="10"/>
        <v>97639</v>
      </c>
      <c r="I27" s="10">
        <f t="shared" ref="I27:X27" si="11">+I18+I22+I25</f>
        <v>99899</v>
      </c>
      <c r="J27" s="10">
        <f t="shared" si="11"/>
        <v>93751</v>
      </c>
      <c r="K27" s="10">
        <f t="shared" si="11"/>
        <v>87152</v>
      </c>
      <c r="L27" s="10">
        <f t="shared" si="11"/>
        <v>89487</v>
      </c>
      <c r="M27" s="10">
        <f t="shared" si="11"/>
        <v>93817</v>
      </c>
      <c r="N27" s="10">
        <f t="shared" si="11"/>
        <v>89931</v>
      </c>
      <c r="O27" s="10">
        <f t="shared" si="11"/>
        <v>87347</v>
      </c>
      <c r="P27" s="10">
        <f t="shared" si="11"/>
        <v>108654</v>
      </c>
      <c r="Q27" s="10">
        <f t="shared" si="11"/>
        <v>107277</v>
      </c>
      <c r="R27" s="10">
        <f t="shared" si="11"/>
        <v>87224</v>
      </c>
      <c r="S27" s="10">
        <f t="shared" si="11"/>
        <v>105673</v>
      </c>
      <c r="T27" s="10">
        <f t="shared" si="11"/>
        <v>104493</v>
      </c>
      <c r="U27" s="10">
        <f t="shared" si="11"/>
        <v>103282</v>
      </c>
      <c r="V27" s="10">
        <f t="shared" si="11"/>
        <v>101271</v>
      </c>
      <c r="W27" s="10">
        <f t="shared" si="11"/>
        <v>96995</v>
      </c>
      <c r="X27" s="10">
        <f t="shared" si="11"/>
        <v>98592</v>
      </c>
    </row>
    <row r="28" spans="2:24" x14ac:dyDescent="0.25">
      <c r="D28" s="5"/>
      <c r="E28" s="5"/>
      <c r="F28" s="5"/>
    </row>
    <row r="29" spans="2:24" x14ac:dyDescent="0.25">
      <c r="B29" s="6" t="s">
        <v>42</v>
      </c>
      <c r="C29" s="6" t="s">
        <v>124</v>
      </c>
      <c r="D29" s="35"/>
      <c r="E29" s="35"/>
      <c r="F29" s="35"/>
      <c r="G29" s="51"/>
      <c r="H29" s="7">
        <f>+H22-G22</f>
        <v>1427</v>
      </c>
      <c r="I29" s="7">
        <f>+I22-H22</f>
        <v>-3624</v>
      </c>
      <c r="J29" s="7">
        <f>+J22-I22</f>
        <v>2120</v>
      </c>
      <c r="K29" s="7">
        <f t="shared" ref="K29:X29" si="12">+K22-J22</f>
        <v>-338</v>
      </c>
      <c r="L29" s="7">
        <f t="shared" si="12"/>
        <v>638</v>
      </c>
      <c r="M29" s="7">
        <f t="shared" si="12"/>
        <v>-3744</v>
      </c>
      <c r="N29" s="7">
        <f t="shared" si="12"/>
        <v>1752</v>
      </c>
      <c r="O29" s="7">
        <f t="shared" si="12"/>
        <v>1400</v>
      </c>
      <c r="P29" s="7">
        <f t="shared" si="12"/>
        <v>15192</v>
      </c>
      <c r="Q29" s="7">
        <f t="shared" si="12"/>
        <v>-4729</v>
      </c>
      <c r="R29" s="7">
        <f t="shared" si="12"/>
        <v>-12706</v>
      </c>
      <c r="S29" s="7">
        <f t="shared" si="12"/>
        <v>15672</v>
      </c>
      <c r="T29" s="7">
        <f t="shared" si="12"/>
        <v>1560</v>
      </c>
      <c r="U29" s="7">
        <f t="shared" si="12"/>
        <v>-5630</v>
      </c>
      <c r="V29" s="7">
        <f t="shared" si="12"/>
        <v>1203</v>
      </c>
      <c r="W29" s="7">
        <f t="shared" si="12"/>
        <v>1776</v>
      </c>
      <c r="X29" s="7">
        <f t="shared" si="12"/>
        <v>896</v>
      </c>
    </row>
    <row r="30" spans="2:24" x14ac:dyDescent="0.25">
      <c r="B30" s="6" t="s">
        <v>43</v>
      </c>
      <c r="C30" s="6" t="s">
        <v>124</v>
      </c>
      <c r="D30" s="35"/>
      <c r="E30" s="35"/>
      <c r="F30" s="35"/>
      <c r="G30" s="51"/>
      <c r="H30" s="7">
        <f>+H43</f>
        <v>1044</v>
      </c>
      <c r="I30" s="7">
        <f t="shared" ref="I30:X30" si="13">+I43</f>
        <v>1559</v>
      </c>
      <c r="J30" s="7">
        <f t="shared" si="13"/>
        <v>2319</v>
      </c>
      <c r="K30" s="7">
        <f t="shared" si="13"/>
        <v>915</v>
      </c>
      <c r="L30" s="7">
        <f t="shared" si="13"/>
        <v>638</v>
      </c>
      <c r="M30" s="7">
        <f t="shared" si="13"/>
        <v>1444</v>
      </c>
      <c r="N30" s="7">
        <f t="shared" si="13"/>
        <v>1753</v>
      </c>
      <c r="O30" s="7">
        <f t="shared" si="13"/>
        <v>1374</v>
      </c>
      <c r="P30" s="7">
        <f t="shared" si="13"/>
        <v>850</v>
      </c>
      <c r="Q30" s="7">
        <f t="shared" si="13"/>
        <v>1417</v>
      </c>
      <c r="R30" s="7">
        <f t="shared" si="13"/>
        <v>1636</v>
      </c>
      <c r="S30" s="7">
        <f t="shared" si="13"/>
        <v>1330</v>
      </c>
      <c r="T30" s="7">
        <f t="shared" si="13"/>
        <v>1560</v>
      </c>
      <c r="U30" s="7">
        <f t="shared" si="13"/>
        <v>1499</v>
      </c>
      <c r="V30" s="7">
        <f t="shared" si="13"/>
        <v>1203</v>
      </c>
      <c r="W30" s="7">
        <f t="shared" si="13"/>
        <v>1776</v>
      </c>
      <c r="X30" s="7">
        <f t="shared" si="13"/>
        <v>896</v>
      </c>
    </row>
    <row r="31" spans="2:24" x14ac:dyDescent="0.25">
      <c r="B31" s="52" t="s">
        <v>44</v>
      </c>
      <c r="C31" s="52" t="s">
        <v>124</v>
      </c>
      <c r="D31" s="50"/>
      <c r="E31" s="50"/>
      <c r="F31" s="50"/>
      <c r="G31" s="53"/>
      <c r="H31" s="54">
        <v>0</v>
      </c>
      <c r="I31" s="54">
        <f>-J50*J48*1000</f>
        <v>-4250</v>
      </c>
      <c r="J31" s="54">
        <v>0</v>
      </c>
      <c r="K31" s="54">
        <v>0</v>
      </c>
      <c r="L31" s="54">
        <v>0</v>
      </c>
      <c r="M31" s="54">
        <f>-N50*N48*1000</f>
        <v>-5250</v>
      </c>
      <c r="N31" s="54">
        <v>0</v>
      </c>
      <c r="O31" s="54">
        <v>0</v>
      </c>
      <c r="P31" s="54">
        <v>0</v>
      </c>
      <c r="Q31" s="54">
        <f>-R50*R48*1000</f>
        <v>-6250</v>
      </c>
      <c r="R31" s="54">
        <v>0</v>
      </c>
      <c r="S31" s="54">
        <v>0</v>
      </c>
      <c r="T31" s="54">
        <v>0</v>
      </c>
      <c r="U31" s="54">
        <f>-V50*V48*1000</f>
        <v>-7250</v>
      </c>
      <c r="V31" s="54">
        <v>0</v>
      </c>
      <c r="W31" s="54">
        <v>0</v>
      </c>
      <c r="X31" s="54">
        <v>0</v>
      </c>
    </row>
    <row r="32" spans="2:24" x14ac:dyDescent="0.25">
      <c r="B32" s="52" t="s">
        <v>164</v>
      </c>
      <c r="C32" s="52" t="s">
        <v>124</v>
      </c>
      <c r="D32" s="50"/>
      <c r="E32" s="50"/>
      <c r="F32" s="50"/>
      <c r="G32" s="53"/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f>(+P48-O48)*1000*P49</f>
        <v>0</v>
      </c>
      <c r="Q32" s="54">
        <v>0</v>
      </c>
      <c r="R32" s="54">
        <f>(+R48-Q48)*1000*R49</f>
        <v>0</v>
      </c>
      <c r="S32" s="54">
        <v>0</v>
      </c>
      <c r="T32" s="54">
        <v>0</v>
      </c>
      <c r="U32" s="54">
        <v>0</v>
      </c>
      <c r="V32" s="54">
        <f>(+V48-U48)*1000*V49</f>
        <v>0</v>
      </c>
      <c r="W32" s="54">
        <v>0</v>
      </c>
      <c r="X32" s="54">
        <v>0</v>
      </c>
    </row>
    <row r="33" spans="2:27" x14ac:dyDescent="0.25">
      <c r="B33" s="52" t="s">
        <v>45</v>
      </c>
      <c r="C33" s="52" t="s">
        <v>124</v>
      </c>
      <c r="D33" s="50"/>
      <c r="E33" s="50"/>
      <c r="F33" s="50"/>
      <c r="G33" s="53"/>
      <c r="H33" s="54">
        <f>+H29-H30-H31-H32</f>
        <v>383</v>
      </c>
      <c r="I33" s="54">
        <f t="shared" ref="I33:X33" si="14">+I29-I30-I31-I32</f>
        <v>-933</v>
      </c>
      <c r="J33" s="54">
        <f t="shared" si="14"/>
        <v>-199</v>
      </c>
      <c r="K33" s="54">
        <f t="shared" si="14"/>
        <v>-1253</v>
      </c>
      <c r="L33" s="54">
        <f t="shared" si="14"/>
        <v>0</v>
      </c>
      <c r="M33" s="54">
        <f t="shared" si="14"/>
        <v>62</v>
      </c>
      <c r="N33" s="54">
        <f t="shared" si="14"/>
        <v>-1</v>
      </c>
      <c r="O33" s="54">
        <f t="shared" si="14"/>
        <v>26</v>
      </c>
      <c r="P33" s="54">
        <f t="shared" si="14"/>
        <v>14342</v>
      </c>
      <c r="Q33" s="54">
        <f t="shared" si="14"/>
        <v>104</v>
      </c>
      <c r="R33" s="54">
        <f t="shared" si="14"/>
        <v>-14342</v>
      </c>
      <c r="S33" s="54">
        <f t="shared" si="14"/>
        <v>14342</v>
      </c>
      <c r="T33" s="54">
        <f t="shared" si="14"/>
        <v>0</v>
      </c>
      <c r="U33" s="54">
        <f t="shared" si="14"/>
        <v>121</v>
      </c>
      <c r="V33" s="54">
        <f t="shared" si="14"/>
        <v>0</v>
      </c>
      <c r="W33" s="54">
        <f t="shared" si="14"/>
        <v>0</v>
      </c>
      <c r="X33" s="54">
        <f t="shared" si="14"/>
        <v>0</v>
      </c>
    </row>
    <row r="34" spans="2:27" x14ac:dyDescent="0.25">
      <c r="C34" s="5"/>
      <c r="D34" s="5"/>
      <c r="E34" s="5"/>
      <c r="F34" s="5"/>
    </row>
    <row r="35" spans="2:27" ht="30" x14ac:dyDescent="0.25">
      <c r="B35" s="12" t="s">
        <v>24</v>
      </c>
      <c r="C35" s="32"/>
      <c r="D35" s="32"/>
      <c r="E35" s="32"/>
      <c r="F35" s="32"/>
      <c r="K35" s="21"/>
      <c r="M35" s="21"/>
      <c r="O35" s="21"/>
      <c r="P35" s="21"/>
      <c r="S35" s="21"/>
      <c r="T35" s="21"/>
      <c r="W35" s="21"/>
      <c r="Z35" s="37">
        <v>2008</v>
      </c>
      <c r="AA35" s="40" t="s">
        <v>135</v>
      </c>
    </row>
    <row r="36" spans="2:27" x14ac:dyDescent="0.25">
      <c r="D36" s="5"/>
      <c r="E36" s="5"/>
      <c r="F36" s="5"/>
    </row>
    <row r="37" spans="2:27" x14ac:dyDescent="0.25">
      <c r="B37" s="1" t="s">
        <v>2</v>
      </c>
      <c r="C37" s="1" t="s">
        <v>124</v>
      </c>
      <c r="D37" s="38">
        <f>+K128*Z37</f>
        <v>17967.099795949285</v>
      </c>
      <c r="E37" s="38">
        <f>+K129*Z37</f>
        <v>21962.758640360149</v>
      </c>
      <c r="F37" s="38">
        <f>+K130*Z37</f>
        <v>23394.007361536347</v>
      </c>
      <c r="G37" s="38">
        <f>+K131*Z37</f>
        <v>21746.134202154222</v>
      </c>
      <c r="H37" s="3">
        <v>16869</v>
      </c>
      <c r="I37" s="3">
        <f>38886-H37</f>
        <v>22017</v>
      </c>
      <c r="J37" s="3">
        <f>62424-I37-H37</f>
        <v>23538</v>
      </c>
      <c r="K37" s="3">
        <f>82789-J37-I37-H37</f>
        <v>20365</v>
      </c>
      <c r="L37" s="3">
        <v>17702</v>
      </c>
      <c r="M37" s="3">
        <f>39673-L37</f>
        <v>21971</v>
      </c>
      <c r="N37" s="3">
        <f>64109-M37-L37</f>
        <v>24436</v>
      </c>
      <c r="O37" s="3">
        <f>86556-N37-M37-L37</f>
        <v>22447</v>
      </c>
      <c r="P37" s="3">
        <v>19833</v>
      </c>
      <c r="Q37" s="3">
        <f>44208-P37</f>
        <v>24375</v>
      </c>
      <c r="R37" s="3">
        <f>71860-Q37-P37</f>
        <v>27652</v>
      </c>
      <c r="S37" s="3">
        <f>97386-R37-Q37-P37</f>
        <v>25526</v>
      </c>
      <c r="T37" s="3">
        <v>20879</v>
      </c>
      <c r="U37" s="3">
        <f>44541-T37</f>
        <v>23662</v>
      </c>
      <c r="V37" s="3">
        <f>66937-U37-T37</f>
        <v>22396</v>
      </c>
      <c r="W37" s="3">
        <f>88076-V37-U37-T37</f>
        <v>21139</v>
      </c>
      <c r="X37" s="3">
        <v>16819</v>
      </c>
      <c r="Z37" s="3">
        <v>85070</v>
      </c>
      <c r="AA37" s="3">
        <f t="shared" ref="AA37:AA44" si="15">SUM(D37:G37)</f>
        <v>85070</v>
      </c>
    </row>
    <row r="38" spans="2:27" ht="30" x14ac:dyDescent="0.25">
      <c r="B38" s="13" t="s">
        <v>18</v>
      </c>
      <c r="C38" s="13" t="s">
        <v>124</v>
      </c>
      <c r="D38" s="38">
        <f>+Z38*K138</f>
        <v>15840.18841654535</v>
      </c>
      <c r="E38" s="38">
        <f>+Z38*K139</f>
        <v>19136.929484186207</v>
      </c>
      <c r="F38" s="38">
        <f>+Z38*K140</f>
        <v>20244.663681838018</v>
      </c>
      <c r="G38" s="38">
        <f>+Z38*K141</f>
        <v>19522.21841743042</v>
      </c>
      <c r="H38" s="3">
        <f>+H37-H39</f>
        <v>14731</v>
      </c>
      <c r="I38" s="3">
        <f t="shared" ref="I38:X38" si="16">+I37-I39</f>
        <v>19900</v>
      </c>
      <c r="J38" s="3">
        <f t="shared" si="16"/>
        <v>20647</v>
      </c>
      <c r="K38" s="3">
        <f t="shared" si="16"/>
        <v>19358</v>
      </c>
      <c r="L38" s="3">
        <f t="shared" si="16"/>
        <v>17073</v>
      </c>
      <c r="M38" s="3">
        <f t="shared" ref="M38" si="17">+M37-M39</f>
        <v>19978</v>
      </c>
      <c r="N38" s="3">
        <f t="shared" ref="N38" si="18">+N37-N39</f>
        <v>22101</v>
      </c>
      <c r="O38" s="3">
        <f t="shared" ref="O38" si="19">+O37-O39</f>
        <v>20789</v>
      </c>
      <c r="P38" s="3">
        <f t="shared" si="16"/>
        <v>18587</v>
      </c>
      <c r="Q38" s="3">
        <f t="shared" ref="Q38" si="20">+Q37-Q39</f>
        <v>22413</v>
      </c>
      <c r="R38" s="3">
        <f t="shared" ref="R38" si="21">+R37-R39</f>
        <v>25155</v>
      </c>
      <c r="S38" s="3">
        <f t="shared" ref="S38" si="22">+S37-S39</f>
        <v>24038</v>
      </c>
      <c r="T38" s="3">
        <f t="shared" si="16"/>
        <v>19048</v>
      </c>
      <c r="U38" s="3">
        <f t="shared" ref="U38" si="23">+U37-U39</f>
        <v>21600</v>
      </c>
      <c r="V38" s="3">
        <f t="shared" ref="V38" si="24">+V37-V39</f>
        <v>20844</v>
      </c>
      <c r="W38" s="3">
        <f t="shared" ref="W38" si="25">+W37-W39</f>
        <v>18921</v>
      </c>
      <c r="X38" s="3">
        <f t="shared" si="16"/>
        <v>15707</v>
      </c>
      <c r="Z38" s="3">
        <f>+Z37-Z39</f>
        <v>74744</v>
      </c>
      <c r="AA38" s="3">
        <f t="shared" si="15"/>
        <v>74744</v>
      </c>
    </row>
    <row r="39" spans="2:27" x14ac:dyDescent="0.25">
      <c r="B39" s="13" t="s">
        <v>20</v>
      </c>
      <c r="C39" s="13" t="s">
        <v>124</v>
      </c>
      <c r="D39" s="38">
        <f t="shared" ref="D39:F39" si="26">+D37-D38</f>
        <v>2126.9113794039349</v>
      </c>
      <c r="E39" s="38">
        <f t="shared" si="26"/>
        <v>2825.8291561739425</v>
      </c>
      <c r="F39" s="38">
        <f t="shared" si="26"/>
        <v>3149.3436796983297</v>
      </c>
      <c r="G39" s="38">
        <f>+G37-G38</f>
        <v>2223.9157847238021</v>
      </c>
      <c r="H39" s="3">
        <v>2138</v>
      </c>
      <c r="I39" s="3">
        <f>4255-H39</f>
        <v>2117</v>
      </c>
      <c r="J39" s="3">
        <f>7146-I39-H39</f>
        <v>2891</v>
      </c>
      <c r="K39" s="3">
        <f>8153-J39-I39-H39</f>
        <v>1007</v>
      </c>
      <c r="L39" s="3">
        <v>629</v>
      </c>
      <c r="M39" s="3">
        <f>2622-L39</f>
        <v>1993</v>
      </c>
      <c r="N39" s="3">
        <f>4957-M39-L39</f>
        <v>2335</v>
      </c>
      <c r="O39" s="3">
        <f>6615-N39-M39-L39</f>
        <v>1658</v>
      </c>
      <c r="P39" s="3">
        <v>1246</v>
      </c>
      <c r="Q39" s="3">
        <f>3208-P39</f>
        <v>1962</v>
      </c>
      <c r="R39" s="3">
        <f>5705-Q39-P39</f>
        <v>2497</v>
      </c>
      <c r="S39" s="3">
        <f>7193-R39-Q39-P39</f>
        <v>1488</v>
      </c>
      <c r="T39" s="3">
        <v>1831</v>
      </c>
      <c r="U39" s="3">
        <f>3893-T39</f>
        <v>2062</v>
      </c>
      <c r="V39" s="3">
        <f>5445-U39-T39</f>
        <v>1552</v>
      </c>
      <c r="W39" s="3">
        <f>7663-V39-U39-T39</f>
        <v>2218</v>
      </c>
      <c r="X39" s="3">
        <v>1112</v>
      </c>
      <c r="Z39" s="3">
        <v>10326</v>
      </c>
      <c r="AA39" s="3">
        <f t="shared" si="15"/>
        <v>10326.000000000009</v>
      </c>
    </row>
    <row r="40" spans="2:27" ht="30" x14ac:dyDescent="0.25">
      <c r="B40" s="13" t="s">
        <v>17</v>
      </c>
      <c r="C40" s="13" t="s">
        <v>124</v>
      </c>
      <c r="D40" s="38">
        <f>+K148*Z40</f>
        <v>-1295.6013655462184</v>
      </c>
      <c r="E40" s="38">
        <f>+K149*Z40</f>
        <v>-1222.0446428571429</v>
      </c>
      <c r="F40" s="38">
        <f>+K150*Z40</f>
        <v>-1140.1292016806724</v>
      </c>
      <c r="G40" s="38">
        <f>+K151*Z40</f>
        <v>474.77521008403363</v>
      </c>
      <c r="H40" s="3">
        <f>+H41-H39</f>
        <v>-734</v>
      </c>
      <c r="I40" s="3">
        <f t="shared" ref="I40:X40" si="27">+I41-I39</f>
        <v>-183</v>
      </c>
      <c r="J40" s="3">
        <f t="shared" si="27"/>
        <v>-66</v>
      </c>
      <c r="K40" s="3">
        <f t="shared" si="27"/>
        <v>112</v>
      </c>
      <c r="L40" s="3">
        <f t="shared" si="27"/>
        <v>148</v>
      </c>
      <c r="M40" s="3">
        <f t="shared" ref="M40" si="28">+M41-M39</f>
        <v>-176</v>
      </c>
      <c r="N40" s="3">
        <f t="shared" ref="N40" si="29">+N41-N39</f>
        <v>-169</v>
      </c>
      <c r="O40" s="3">
        <f t="shared" ref="O40" si="30">+O41-O39</f>
        <v>2</v>
      </c>
      <c r="P40" s="3">
        <f t="shared" si="27"/>
        <v>-174</v>
      </c>
      <c r="Q40" s="3">
        <f t="shared" ref="Q40" si="31">+Q41-Q39</f>
        <v>-191</v>
      </c>
      <c r="R40" s="3">
        <f t="shared" ref="R40" si="32">+R41-R39</f>
        <v>-403</v>
      </c>
      <c r="S40" s="3">
        <f t="shared" ref="S40" si="33">+S41-S39</f>
        <v>99</v>
      </c>
      <c r="T40" s="3">
        <f t="shared" si="27"/>
        <v>-15</v>
      </c>
      <c r="U40" s="3">
        <f t="shared" ref="U40" si="34">+U41-U39</f>
        <v>-181</v>
      </c>
      <c r="V40" s="3">
        <f t="shared" ref="V40" si="35">+V41-V39</f>
        <v>-44</v>
      </c>
      <c r="W40" s="3">
        <f t="shared" ref="W40" si="36">+W41-W39</f>
        <v>25</v>
      </c>
      <c r="X40" s="3">
        <f t="shared" si="27"/>
        <v>-97</v>
      </c>
      <c r="Z40" s="3">
        <f>+Z41-Z39</f>
        <v>-3183</v>
      </c>
      <c r="AA40" s="3">
        <f t="shared" si="15"/>
        <v>-3183.0000000000005</v>
      </c>
    </row>
    <row r="41" spans="2:27" x14ac:dyDescent="0.25">
      <c r="B41" s="1" t="s">
        <v>0</v>
      </c>
      <c r="C41" s="1" t="s">
        <v>124</v>
      </c>
      <c r="D41" s="38">
        <f>+D39+D40</f>
        <v>831.31001385771651</v>
      </c>
      <c r="E41" s="38">
        <f t="shared" ref="E41:G41" si="37">+E39+E40</f>
        <v>1603.7845133167996</v>
      </c>
      <c r="F41" s="38">
        <f t="shared" si="37"/>
        <v>2009.2144780176573</v>
      </c>
      <c r="G41" s="38">
        <f t="shared" si="37"/>
        <v>2698.6909948078355</v>
      </c>
      <c r="H41" s="3">
        <v>1404</v>
      </c>
      <c r="I41" s="3">
        <f>3338-H41</f>
        <v>1934</v>
      </c>
      <c r="J41" s="3">
        <f>6163-I41-H41</f>
        <v>2825</v>
      </c>
      <c r="K41" s="3">
        <f>7282-J41-I41-H41</f>
        <v>1119</v>
      </c>
      <c r="L41" s="3">
        <v>777</v>
      </c>
      <c r="M41" s="3">
        <f>2594-L41</f>
        <v>1817</v>
      </c>
      <c r="N41" s="3">
        <f>4760-M41-L41</f>
        <v>2166</v>
      </c>
      <c r="O41" s="3">
        <f>6420-N41-M41-L41</f>
        <v>1660</v>
      </c>
      <c r="P41" s="3">
        <v>1072</v>
      </c>
      <c r="Q41" s="3">
        <f>2843-P41</f>
        <v>1771</v>
      </c>
      <c r="R41" s="3">
        <f>4937-Q41-P41</f>
        <v>2094</v>
      </c>
      <c r="S41" s="3">
        <f>6524-R41-Q41-P41</f>
        <v>1587</v>
      </c>
      <c r="T41" s="3">
        <v>1816</v>
      </c>
      <c r="U41" s="3">
        <f>3697-T41</f>
        <v>1881</v>
      </c>
      <c r="V41" s="3">
        <f>5205-U41-T41</f>
        <v>1508</v>
      </c>
      <c r="W41" s="3">
        <f>7448-V41-U41-T41</f>
        <v>2243</v>
      </c>
      <c r="X41" s="3">
        <v>1015</v>
      </c>
      <c r="Z41" s="3">
        <v>7143</v>
      </c>
      <c r="AA41" s="3">
        <f t="shared" si="15"/>
        <v>7143.0000000000091</v>
      </c>
    </row>
    <row r="42" spans="2:27" x14ac:dyDescent="0.25">
      <c r="B42" s="16" t="s">
        <v>19</v>
      </c>
      <c r="C42" s="13" t="s">
        <v>124</v>
      </c>
      <c r="D42" s="38">
        <f>+Z42*K158</f>
        <v>174.14516442887722</v>
      </c>
      <c r="E42" s="38">
        <f>+Z42*K159</f>
        <v>264.51527534539792</v>
      </c>
      <c r="F42" s="38">
        <f>+Z42*K160</f>
        <v>299.80774469741198</v>
      </c>
      <c r="G42" s="39">
        <f>+Z42*K161</f>
        <v>177.5318155283129</v>
      </c>
      <c r="H42" s="14">
        <f>+H41-H43</f>
        <v>360</v>
      </c>
      <c r="I42" s="14">
        <f t="shared" ref="I42:X42" si="38">+I41-I43</f>
        <v>375</v>
      </c>
      <c r="J42" s="14">
        <f t="shared" si="38"/>
        <v>506</v>
      </c>
      <c r="K42" s="14">
        <f t="shared" si="38"/>
        <v>204</v>
      </c>
      <c r="L42" s="14">
        <f t="shared" si="38"/>
        <v>139</v>
      </c>
      <c r="M42" s="14">
        <f t="shared" ref="M42" si="39">+M41-M43</f>
        <v>373</v>
      </c>
      <c r="N42" s="14">
        <f t="shared" ref="N42" si="40">+N41-N43</f>
        <v>413</v>
      </c>
      <c r="O42" s="14">
        <f t="shared" ref="O42" si="41">+O41-O43</f>
        <v>286</v>
      </c>
      <c r="P42" s="14">
        <f t="shared" si="38"/>
        <v>222</v>
      </c>
      <c r="Q42" s="14">
        <f t="shared" ref="Q42" si="42">+Q41-Q43</f>
        <v>354</v>
      </c>
      <c r="R42" s="14">
        <f t="shared" ref="R42" si="43">+R41-R43</f>
        <v>458</v>
      </c>
      <c r="S42" s="14">
        <f t="shared" ref="S42" si="44">+S41-S43</f>
        <v>257</v>
      </c>
      <c r="T42" s="14">
        <f t="shared" si="38"/>
        <v>256</v>
      </c>
      <c r="U42" s="14">
        <f t="shared" ref="U42" si="45">+U41-U43</f>
        <v>382</v>
      </c>
      <c r="V42" s="14">
        <f t="shared" ref="V42" si="46">+V41-V43</f>
        <v>305</v>
      </c>
      <c r="W42" s="14">
        <f t="shared" ref="W42" si="47">+W41-W43</f>
        <v>467</v>
      </c>
      <c r="X42" s="14">
        <f t="shared" si="38"/>
        <v>119</v>
      </c>
      <c r="Z42" s="3">
        <f>+Z41-Z43</f>
        <v>916</v>
      </c>
      <c r="AA42" s="3">
        <f t="shared" si="15"/>
        <v>916</v>
      </c>
    </row>
    <row r="43" spans="2:27" x14ac:dyDescent="0.25">
      <c r="B43" s="1" t="s">
        <v>1</v>
      </c>
      <c r="C43" s="1" t="s">
        <v>124</v>
      </c>
      <c r="D43" s="38">
        <f t="shared" ref="D43:F43" si="48">+D41-D42</f>
        <v>657.16484942883926</v>
      </c>
      <c r="E43" s="38">
        <f t="shared" si="48"/>
        <v>1339.2692379714017</v>
      </c>
      <c r="F43" s="38">
        <f t="shared" si="48"/>
        <v>1709.4067333202452</v>
      </c>
      <c r="G43" s="38">
        <f>+G41-G42</f>
        <v>2521.1591792795225</v>
      </c>
      <c r="H43" s="3">
        <v>1044</v>
      </c>
      <c r="I43" s="3">
        <f>2603-H43</f>
        <v>1559</v>
      </c>
      <c r="J43" s="3">
        <f>4922-I43-H43</f>
        <v>2319</v>
      </c>
      <c r="K43" s="3">
        <f>5837-J43-I43-H43</f>
        <v>915</v>
      </c>
      <c r="L43" s="3">
        <v>638</v>
      </c>
      <c r="M43" s="3">
        <f>2082-L43</f>
        <v>1444</v>
      </c>
      <c r="N43" s="3">
        <f>3835-M43-L43</f>
        <v>1753</v>
      </c>
      <c r="O43" s="3">
        <f>5209-N43-M43-L43</f>
        <v>1374</v>
      </c>
      <c r="P43" s="3">
        <v>850</v>
      </c>
      <c r="Q43" s="3">
        <f>2267-P43</f>
        <v>1417</v>
      </c>
      <c r="R43" s="3">
        <f>3903-Q43-P43</f>
        <v>1636</v>
      </c>
      <c r="S43" s="3">
        <f>5233-R43-Q43-P43</f>
        <v>1330</v>
      </c>
      <c r="T43" s="3">
        <v>1560</v>
      </c>
      <c r="U43" s="3">
        <f>3059-T43</f>
        <v>1499</v>
      </c>
      <c r="V43" s="3">
        <f>4262-U43-T43</f>
        <v>1203</v>
      </c>
      <c r="W43" s="3">
        <f>6038-V43-U43-T43</f>
        <v>1776</v>
      </c>
      <c r="X43" s="3">
        <v>896</v>
      </c>
      <c r="Z43" s="3">
        <v>6227</v>
      </c>
      <c r="AA43" s="3">
        <f t="shared" si="15"/>
        <v>6227.0000000000091</v>
      </c>
    </row>
    <row r="44" spans="2:27" ht="30" x14ac:dyDescent="0.25">
      <c r="B44" s="49" t="s">
        <v>162</v>
      </c>
      <c r="C44" s="1" t="s">
        <v>124</v>
      </c>
      <c r="D44" s="22">
        <f>+Z44*K168</f>
        <v>1171.6785506268968</v>
      </c>
      <c r="E44" s="22">
        <f>+K169*Z44</f>
        <v>1694.8106894331872</v>
      </c>
      <c r="F44" s="22">
        <f>+K170*Z44</f>
        <v>1978.8539744336472</v>
      </c>
      <c r="G44" s="22">
        <f>+K171*Z44</f>
        <v>1381.656785506269</v>
      </c>
      <c r="H44" s="3">
        <v>1044</v>
      </c>
      <c r="I44" s="3">
        <f>2603-H44</f>
        <v>1559</v>
      </c>
      <c r="J44" s="3">
        <f>4922-I44-H44</f>
        <v>2319</v>
      </c>
      <c r="K44" s="3">
        <f>5837-J44-I44-H44</f>
        <v>915</v>
      </c>
      <c r="L44" s="3">
        <v>638</v>
      </c>
      <c r="M44" s="3">
        <f>2082-L44</f>
        <v>1444</v>
      </c>
      <c r="N44" s="3">
        <f>3835-M44-L44</f>
        <v>1753</v>
      </c>
      <c r="O44" s="3">
        <f>5209-N44-M44-L44</f>
        <v>1374</v>
      </c>
      <c r="P44" s="3">
        <v>850</v>
      </c>
      <c r="Q44" s="3">
        <f>2267-P44</f>
        <v>1417</v>
      </c>
      <c r="R44" s="3">
        <f>3903-Q44-P44</f>
        <v>1636</v>
      </c>
      <c r="S44" s="3">
        <f>5233-R44-Q44-P44</f>
        <v>1330</v>
      </c>
      <c r="T44" s="3">
        <v>1560</v>
      </c>
      <c r="U44" s="3">
        <f>3059-T44</f>
        <v>1499</v>
      </c>
      <c r="V44" s="3">
        <f>4262-U44-T44</f>
        <v>1203</v>
      </c>
      <c r="W44" s="3">
        <f>6038-V44-U44-T44</f>
        <v>1776</v>
      </c>
      <c r="X44" s="3">
        <v>896</v>
      </c>
      <c r="Z44" s="3">
        <v>6227</v>
      </c>
      <c r="AA44" s="3">
        <f t="shared" si="15"/>
        <v>6227</v>
      </c>
    </row>
    <row r="45" spans="2:27" x14ac:dyDescent="0.25">
      <c r="B45" s="5"/>
      <c r="C45" s="5"/>
      <c r="D45" s="5"/>
      <c r="E45" s="5"/>
      <c r="F45" s="5"/>
      <c r="G45" s="15"/>
      <c r="H45" s="15"/>
    </row>
    <row r="46" spans="2:27" x14ac:dyDescent="0.25">
      <c r="B46" s="17" t="s">
        <v>22</v>
      </c>
      <c r="C46" s="33"/>
      <c r="D46" s="33"/>
      <c r="E46" s="33"/>
      <c r="F46" s="33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2:27" x14ac:dyDescent="0.25">
      <c r="B47" s="5"/>
      <c r="C47" s="5"/>
      <c r="D47" s="5"/>
      <c r="E47" s="5"/>
      <c r="F47" s="5"/>
      <c r="G47" s="15"/>
      <c r="H47" s="15"/>
    </row>
    <row r="48" spans="2:27" x14ac:dyDescent="0.25">
      <c r="B48" s="1" t="s">
        <v>127</v>
      </c>
      <c r="C48" s="1" t="s">
        <v>126</v>
      </c>
      <c r="D48" s="5"/>
      <c r="E48" s="5"/>
      <c r="F48" s="5"/>
      <c r="G48" s="4">
        <v>2.5</v>
      </c>
      <c r="H48" s="4">
        <v>2.5</v>
      </c>
      <c r="I48" s="4">
        <v>2.5</v>
      </c>
      <c r="J48" s="4">
        <v>2.5</v>
      </c>
      <c r="K48" s="4">
        <v>2.5</v>
      </c>
      <c r="L48" s="4">
        <v>2.5</v>
      </c>
      <c r="M48" s="4">
        <v>2.5</v>
      </c>
      <c r="N48" s="4">
        <v>2.5</v>
      </c>
      <c r="O48" s="4">
        <v>2.5</v>
      </c>
      <c r="P48" s="4">
        <v>2.5</v>
      </c>
      <c r="Q48" s="4">
        <v>2.5</v>
      </c>
      <c r="R48" s="4">
        <v>2.5</v>
      </c>
      <c r="S48" s="4">
        <v>2.5</v>
      </c>
      <c r="T48" s="4">
        <v>2.5</v>
      </c>
      <c r="U48" s="4">
        <v>2.5</v>
      </c>
      <c r="V48" s="4">
        <v>2.5</v>
      </c>
      <c r="W48" s="4">
        <v>2.5</v>
      </c>
      <c r="X48" s="4">
        <v>2.5</v>
      </c>
    </row>
    <row r="49" spans="2:24" x14ac:dyDescent="0.25">
      <c r="B49" s="6" t="s">
        <v>23</v>
      </c>
      <c r="C49" s="6" t="s">
        <v>128</v>
      </c>
      <c r="D49" s="35"/>
      <c r="E49" s="35"/>
      <c r="F49" s="35"/>
      <c r="G49" s="19">
        <f t="shared" ref="G49:X49" si="49">+(G20*1000)/(G48*1000000)</f>
        <v>2</v>
      </c>
      <c r="H49" s="19">
        <f t="shared" si="49"/>
        <v>2</v>
      </c>
      <c r="I49" s="19">
        <f t="shared" si="49"/>
        <v>2</v>
      </c>
      <c r="J49" s="19">
        <f t="shared" si="49"/>
        <v>2</v>
      </c>
      <c r="K49" s="19">
        <f t="shared" si="49"/>
        <v>2</v>
      </c>
      <c r="L49" s="19">
        <f t="shared" si="49"/>
        <v>2</v>
      </c>
      <c r="M49" s="19">
        <f t="shared" si="49"/>
        <v>2</v>
      </c>
      <c r="N49" s="19">
        <f t="shared" si="49"/>
        <v>2</v>
      </c>
      <c r="O49" s="19">
        <f t="shared" si="49"/>
        <v>2</v>
      </c>
      <c r="P49" s="19">
        <f t="shared" si="49"/>
        <v>2</v>
      </c>
      <c r="Q49" s="19">
        <f t="shared" si="49"/>
        <v>2</v>
      </c>
      <c r="R49" s="19">
        <f t="shared" si="49"/>
        <v>2</v>
      </c>
      <c r="S49" s="19">
        <f t="shared" si="49"/>
        <v>2</v>
      </c>
      <c r="T49" s="19">
        <f t="shared" si="49"/>
        <v>2</v>
      </c>
      <c r="U49" s="19">
        <f t="shared" si="49"/>
        <v>2</v>
      </c>
      <c r="V49" s="19">
        <f t="shared" si="49"/>
        <v>2</v>
      </c>
      <c r="W49" s="19">
        <f t="shared" si="49"/>
        <v>2</v>
      </c>
      <c r="X49" s="19">
        <f t="shared" si="49"/>
        <v>2</v>
      </c>
    </row>
    <row r="50" spans="2:24" x14ac:dyDescent="0.25">
      <c r="B50" s="28" t="s">
        <v>85</v>
      </c>
      <c r="C50" s="28" t="s">
        <v>150</v>
      </c>
      <c r="D50" s="36"/>
      <c r="E50" s="36"/>
      <c r="F50" s="36"/>
      <c r="G50" s="43">
        <v>0</v>
      </c>
      <c r="H50" s="43">
        <v>0</v>
      </c>
      <c r="I50" s="43">
        <v>0</v>
      </c>
      <c r="J50" s="25">
        <v>1.7</v>
      </c>
      <c r="K50" s="43">
        <v>1.7</v>
      </c>
      <c r="L50" s="43">
        <v>1.7</v>
      </c>
      <c r="M50" s="43">
        <v>1.7</v>
      </c>
      <c r="N50" s="25">
        <v>2.1</v>
      </c>
      <c r="O50" s="43">
        <v>2.1</v>
      </c>
      <c r="P50" s="43">
        <v>2.1</v>
      </c>
      <c r="Q50" s="43">
        <v>2.1</v>
      </c>
      <c r="R50" s="25">
        <v>2.5</v>
      </c>
      <c r="S50" s="43">
        <v>2.5</v>
      </c>
      <c r="T50" s="43">
        <v>2.5</v>
      </c>
      <c r="U50" s="43">
        <v>2.5</v>
      </c>
      <c r="V50" s="25">
        <v>2.9</v>
      </c>
      <c r="W50" s="43">
        <v>2.9</v>
      </c>
      <c r="X50" s="43">
        <v>2.9</v>
      </c>
    </row>
    <row r="51" spans="2:24" x14ac:dyDescent="0.25">
      <c r="D51" s="5"/>
      <c r="E51" s="5"/>
      <c r="F51" s="5"/>
    </row>
    <row r="52" spans="2:24" x14ac:dyDescent="0.25">
      <c r="B52" s="9" t="s">
        <v>56</v>
      </c>
      <c r="C52" s="11"/>
      <c r="D52" s="11"/>
      <c r="E52" s="11"/>
      <c r="F52" s="11"/>
    </row>
    <row r="53" spans="2:24" x14ac:dyDescent="0.25">
      <c r="D53" s="5"/>
      <c r="E53" s="5"/>
      <c r="F53" s="5"/>
    </row>
    <row r="54" spans="2:24" x14ac:dyDescent="0.25">
      <c r="B54" s="1" t="s">
        <v>55</v>
      </c>
      <c r="C54" s="1" t="s">
        <v>128</v>
      </c>
      <c r="D54" s="5"/>
      <c r="E54" s="5"/>
      <c r="F54" s="5"/>
      <c r="G54" s="41">
        <f>+[1]Sheet0!$E$129</f>
        <v>13.75</v>
      </c>
      <c r="H54" s="24">
        <f>+[1]Sheet0!$E$191</f>
        <v>33.880000000000003</v>
      </c>
      <c r="I54" s="24">
        <f>+[1]Sheet0!$E$251</f>
        <v>33.950000000000003</v>
      </c>
      <c r="J54" s="24">
        <f>+[1]Sheet0!$E$317</f>
        <v>35</v>
      </c>
      <c r="K54" s="24">
        <f>+[1]Sheet0!$E$380</f>
        <v>27.76</v>
      </c>
      <c r="L54" s="24">
        <f>+[1]Sheet0!$E$443</f>
        <v>31.22</v>
      </c>
      <c r="M54" s="24">
        <f>+[1]Sheet0!$E$504</f>
        <v>24</v>
      </c>
      <c r="N54" s="24">
        <f>+[1]Sheet0!$E$570</f>
        <v>24.38</v>
      </c>
      <c r="O54" s="24">
        <f>+[1]Sheet0!$E$632</f>
        <v>24</v>
      </c>
      <c r="P54" s="24">
        <f>+[1]Sheet0!$E$693</f>
        <v>28.6</v>
      </c>
      <c r="Q54" s="24">
        <f>+[1]Sheet0!$E$751</f>
        <v>27.96</v>
      </c>
      <c r="R54" s="24">
        <f>+[1]Sheet0!$E$812</f>
        <v>20.22</v>
      </c>
      <c r="S54" s="24">
        <f>+[1]Sheet0!$E$869</f>
        <v>18.649999999999999</v>
      </c>
      <c r="T54" s="24">
        <f>+[1]Sheet0!$E$923</f>
        <v>19</v>
      </c>
      <c r="U54" s="24">
        <f>+[1]Sheet0!$E$972</f>
        <v>20.65</v>
      </c>
      <c r="V54" s="24">
        <f>+[1]Sheet0!$E$1035</f>
        <v>22.5</v>
      </c>
      <c r="W54" s="24">
        <f>+[1]Sheet0!$E$1096</f>
        <v>22.6</v>
      </c>
      <c r="X54" s="24">
        <f>+[1]Sheet0!$E$1155</f>
        <v>27.75</v>
      </c>
    </row>
    <row r="55" spans="2:24" x14ac:dyDescent="0.25">
      <c r="B55" s="28" t="s">
        <v>151</v>
      </c>
      <c r="C55" s="1" t="s">
        <v>128</v>
      </c>
      <c r="D55" s="5"/>
      <c r="E55" s="5"/>
      <c r="F55" s="5"/>
      <c r="G55" s="41" t="s">
        <v>155</v>
      </c>
      <c r="H55" s="41" t="s">
        <v>155</v>
      </c>
      <c r="I55" s="41">
        <f>+[1]Sheet0!$FQ$251</f>
        <v>21.581646586345364</v>
      </c>
      <c r="J55" s="41">
        <f>+[1]Sheet0!$FQ$317</f>
        <v>24.824279999999995</v>
      </c>
      <c r="K55" s="56">
        <f>+[1]Sheet0!$FQ$380</f>
        <v>28.786095617529892</v>
      </c>
      <c r="L55" s="24">
        <f>+[1]Sheet0!$FQ$443</f>
        <v>30.672579365079354</v>
      </c>
      <c r="M55" s="24">
        <f>+[1]Sheet0!$FQ$504</f>
        <v>29.99252964426876</v>
      </c>
      <c r="N55" s="24">
        <f>+[1]Sheet0!$FQ$570</f>
        <v>27.310869565217359</v>
      </c>
      <c r="O55" s="42">
        <f>+[1]Sheet0!$FQ$632</f>
        <v>25.588373015873021</v>
      </c>
      <c r="P55" s="24">
        <f>+[1]Sheet0!$FQ$693</f>
        <v>25.282039999999999</v>
      </c>
      <c r="Q55" s="24">
        <f>+[1]Sheet0!$FQ$751</f>
        <v>25.10854251012146</v>
      </c>
      <c r="R55" s="24">
        <f>+[1]Sheet0!$FQ$812</f>
        <v>24.733842975206617</v>
      </c>
      <c r="S55" s="42">
        <f>+[1]Sheet0!$FQ$869</f>
        <v>23.468185654008451</v>
      </c>
      <c r="T55" s="24">
        <f>+[1]Sheet0!$FQ$923</f>
        <v>21.86969565217392</v>
      </c>
      <c r="U55" s="24">
        <f>+[1]Sheet0!$FQ$972</f>
        <v>19.963755656108592</v>
      </c>
      <c r="V55" s="24">
        <f>+[1]Sheet0!$FQ$1035</f>
        <v>19.402062780269063</v>
      </c>
      <c r="W55" s="42">
        <f>+[1]Sheet0!$FQ$1096</f>
        <v>20.004052863436122</v>
      </c>
      <c r="X55" s="24">
        <f>+[1]Sheet0!$FQ$1155</f>
        <v>21.568620689655173</v>
      </c>
    </row>
    <row r="56" spans="2:24" x14ac:dyDescent="0.25">
      <c r="D56" s="5"/>
      <c r="E56" s="5"/>
      <c r="F56" s="5"/>
    </row>
    <row r="57" spans="2:24" x14ac:dyDescent="0.25">
      <c r="B57" s="9" t="s">
        <v>58</v>
      </c>
      <c r="C57" s="11"/>
      <c r="D57" s="11"/>
      <c r="E57" s="11"/>
      <c r="F57" s="11"/>
    </row>
    <row r="58" spans="2:24" x14ac:dyDescent="0.25">
      <c r="D58" s="5"/>
      <c r="E58" s="5"/>
      <c r="F58" s="5"/>
    </row>
    <row r="59" spans="2:24" x14ac:dyDescent="0.25">
      <c r="B59" s="1" t="s">
        <v>59</v>
      </c>
      <c r="C59" s="1" t="s">
        <v>129</v>
      </c>
      <c r="D59" s="5"/>
      <c r="E59" s="5"/>
      <c r="F59" s="5"/>
      <c r="G59" s="4">
        <f>+((+G10)/2)/((+G17)/2)</f>
        <v>1.3586136595310907</v>
      </c>
      <c r="H59" s="4">
        <f>+((+G10+H10)/2)/((+G17+H17)/2)</f>
        <v>1.4182481039028678</v>
      </c>
      <c r="I59" s="4">
        <f>+((+G10+I10)/2)/((+G17+I17)/2)</f>
        <v>1.2581653466133347</v>
      </c>
      <c r="J59" s="4">
        <f>+((+G10+J10)/2)/((+G17+J17)/2)</f>
        <v>1.407023301608139</v>
      </c>
      <c r="K59" s="4">
        <f t="shared" ref="K59:X59" si="50">+((+G10+K10)/2)/((+G17+K17)/2)</f>
        <v>1.4917911609088079</v>
      </c>
      <c r="L59" s="4">
        <f t="shared" si="50"/>
        <v>1.5298840920544263</v>
      </c>
      <c r="M59" s="4">
        <f t="shared" si="50"/>
        <v>1.1917888947092719</v>
      </c>
      <c r="N59" s="4">
        <f t="shared" si="50"/>
        <v>1.3819783359123914</v>
      </c>
      <c r="O59" s="4">
        <f t="shared" si="50"/>
        <v>1.571717498584257</v>
      </c>
      <c r="P59" s="4">
        <f t="shared" si="50"/>
        <v>1.5457630436910628</v>
      </c>
      <c r="Q59" s="4">
        <f t="shared" si="50"/>
        <v>1.2030967502665615</v>
      </c>
      <c r="R59" s="4">
        <f t="shared" si="50"/>
        <v>1.3699003516998827</v>
      </c>
      <c r="S59" s="4">
        <f t="shared" si="50"/>
        <v>1.4928266381956492</v>
      </c>
      <c r="T59" s="4">
        <f t="shared" si="50"/>
        <v>1.6252208047105006</v>
      </c>
      <c r="U59" s="4">
        <f t="shared" si="50"/>
        <v>1.2397967121298552</v>
      </c>
      <c r="V59" s="4">
        <f t="shared" si="50"/>
        <v>1.4350152905198776</v>
      </c>
      <c r="W59" s="4">
        <f t="shared" si="50"/>
        <v>1.6743126535139847</v>
      </c>
      <c r="X59" s="4">
        <f t="shared" si="50"/>
        <v>1.9255813953488372</v>
      </c>
    </row>
    <row r="60" spans="2:24" x14ac:dyDescent="0.25">
      <c r="B60" s="1" t="s">
        <v>60</v>
      </c>
      <c r="C60" s="1" t="s">
        <v>129</v>
      </c>
      <c r="D60" s="5"/>
      <c r="E60" s="5"/>
      <c r="F60" s="5"/>
      <c r="G60" s="4">
        <f>+((+G8)/2)/((G17)/2)</f>
        <v>0.11219843696907918</v>
      </c>
      <c r="H60" s="4">
        <f>+((+G8+H8)/2)/((+G17+H17)/2)</f>
        <v>9.5244295433091375E-2</v>
      </c>
      <c r="I60" s="4">
        <f>+((+G8+I8)/2)/((+G17+I17)/2)</f>
        <v>0.23093427988662552</v>
      </c>
      <c r="J60" s="4">
        <f>+((+G8+J8)/2)/((+G17+J17)/2)</f>
        <v>0.18615031178208075</v>
      </c>
      <c r="K60" s="4">
        <f t="shared" ref="K60:X60" si="51">+((+G8+K8)/2)/((+G17+K17)/2)</f>
        <v>0.17759881730469965</v>
      </c>
      <c r="L60" s="4">
        <f t="shared" si="51"/>
        <v>8.5335125146984714E-2</v>
      </c>
      <c r="M60" s="4">
        <f t="shared" si="51"/>
        <v>0.1645495023572551</v>
      </c>
      <c r="N60" s="4">
        <f t="shared" si="51"/>
        <v>0.13239495298178788</v>
      </c>
      <c r="O60" s="4">
        <f t="shared" si="51"/>
        <v>0.17134536040773402</v>
      </c>
      <c r="P60" s="4">
        <f t="shared" si="51"/>
        <v>6.9892648546350383E-2</v>
      </c>
      <c r="Q60" s="4">
        <f t="shared" si="51"/>
        <v>2.0420935515275136E-2</v>
      </c>
      <c r="R60" s="4">
        <f t="shared" si="51"/>
        <v>3.2327080890973039E-2</v>
      </c>
      <c r="S60" s="4">
        <f t="shared" si="51"/>
        <v>0.19027759241959161</v>
      </c>
      <c r="T60" s="4">
        <f t="shared" si="51"/>
        <v>6.5194635263330067E-2</v>
      </c>
      <c r="U60" s="4">
        <f t="shared" si="51"/>
        <v>4.9084685992843435E-2</v>
      </c>
      <c r="V60" s="4">
        <f t="shared" si="51"/>
        <v>6.5143985728848108E-2</v>
      </c>
      <c r="W60" s="4">
        <f t="shared" si="51"/>
        <v>0.22205055066951906</v>
      </c>
      <c r="X60" s="4">
        <f t="shared" si="51"/>
        <v>7.5954768508640927E-2</v>
      </c>
    </row>
    <row r="61" spans="2:24" x14ac:dyDescent="0.25">
      <c r="B61" s="1" t="s">
        <v>88</v>
      </c>
      <c r="C61" s="1" t="s">
        <v>124</v>
      </c>
      <c r="D61" s="5"/>
      <c r="E61" s="5"/>
      <c r="F61" s="5"/>
      <c r="G61" s="3">
        <f t="shared" ref="G61:X61" si="52">+G10-G17</f>
        <v>5277</v>
      </c>
      <c r="H61" s="3">
        <f t="shared" si="52"/>
        <v>7572</v>
      </c>
      <c r="I61" s="3">
        <f t="shared" si="52"/>
        <v>4469</v>
      </c>
      <c r="J61" s="3">
        <f t="shared" si="52"/>
        <v>7125</v>
      </c>
      <c r="K61" s="3">
        <f t="shared" si="52"/>
        <v>7364</v>
      </c>
      <c r="L61" s="3">
        <f t="shared" si="52"/>
        <v>8200</v>
      </c>
      <c r="M61" s="3">
        <f t="shared" si="52"/>
        <v>4318</v>
      </c>
      <c r="N61" s="3">
        <f t="shared" si="52"/>
        <v>5711</v>
      </c>
      <c r="O61" s="3">
        <f t="shared" si="52"/>
        <v>6770</v>
      </c>
      <c r="P61" s="3">
        <f t="shared" si="52"/>
        <v>8526</v>
      </c>
      <c r="Q61" s="3">
        <f t="shared" si="52"/>
        <v>4444</v>
      </c>
      <c r="R61" s="3">
        <f t="shared" si="52"/>
        <v>6910</v>
      </c>
      <c r="S61" s="3">
        <f t="shared" si="52"/>
        <v>8001</v>
      </c>
      <c r="T61" s="3">
        <f t="shared" si="52"/>
        <v>10587</v>
      </c>
      <c r="U61" s="3">
        <f t="shared" si="52"/>
        <v>4804</v>
      </c>
      <c r="V61" s="3">
        <f t="shared" si="52"/>
        <v>6746</v>
      </c>
      <c r="W61" s="3">
        <f t="shared" si="52"/>
        <v>9020</v>
      </c>
      <c r="X61" s="3">
        <f t="shared" si="52"/>
        <v>11104</v>
      </c>
    </row>
    <row r="62" spans="2:24" x14ac:dyDescent="0.25">
      <c r="B62" s="1" t="s">
        <v>137</v>
      </c>
      <c r="C62" s="1" t="s">
        <v>124</v>
      </c>
      <c r="D62" s="5"/>
      <c r="E62" s="5"/>
      <c r="F62" s="5"/>
      <c r="G62" s="3">
        <f>+((+G10+G10)/2)-((+G17+G17)/2)</f>
        <v>5277</v>
      </c>
      <c r="H62" s="3">
        <f>+((+H10+G10)/2)-((+H17+G17)/2)</f>
        <v>6424.5</v>
      </c>
      <c r="I62" s="3">
        <f>+((+I10+G10)/2)-((+I17+G17)/2)</f>
        <v>4873</v>
      </c>
      <c r="J62" s="3">
        <f>+((+J10+G10)/2)-((+J17+G17)/2)</f>
        <v>6201</v>
      </c>
      <c r="K62" s="3">
        <f t="shared" ref="K62:X62" si="53">+((+K10+G10)/2)-((+K17+G17)/2)</f>
        <v>6320.5</v>
      </c>
      <c r="L62" s="3">
        <f t="shared" si="53"/>
        <v>7886</v>
      </c>
      <c r="M62" s="3">
        <f t="shared" si="53"/>
        <v>4393.5</v>
      </c>
      <c r="N62" s="3">
        <f t="shared" si="53"/>
        <v>6418</v>
      </c>
      <c r="O62" s="3">
        <f t="shared" si="53"/>
        <v>7067</v>
      </c>
      <c r="P62" s="3">
        <f t="shared" si="53"/>
        <v>8363</v>
      </c>
      <c r="Q62" s="3">
        <f t="shared" si="53"/>
        <v>4381</v>
      </c>
      <c r="R62" s="3">
        <f t="shared" si="53"/>
        <v>6310.5</v>
      </c>
      <c r="S62" s="3">
        <f t="shared" si="53"/>
        <v>7385.5</v>
      </c>
      <c r="T62" s="3">
        <f t="shared" si="53"/>
        <v>9556.5</v>
      </c>
      <c r="U62" s="3">
        <f t="shared" si="53"/>
        <v>4624</v>
      </c>
      <c r="V62" s="3">
        <f t="shared" si="53"/>
        <v>6828</v>
      </c>
      <c r="W62" s="3">
        <f t="shared" si="53"/>
        <v>8510.5</v>
      </c>
      <c r="X62" s="3">
        <f t="shared" si="53"/>
        <v>10845.5</v>
      </c>
    </row>
    <row r="63" spans="2:24" x14ac:dyDescent="0.25">
      <c r="D63" s="5"/>
      <c r="E63" s="5"/>
      <c r="F63" s="5"/>
    </row>
    <row r="64" spans="2:24" x14ac:dyDescent="0.25">
      <c r="B64" s="9" t="s">
        <v>61</v>
      </c>
      <c r="C64" s="11"/>
      <c r="D64" s="11"/>
      <c r="E64" s="11"/>
      <c r="F64" s="11"/>
    </row>
    <row r="66" spans="2:24" ht="30" x14ac:dyDescent="0.25">
      <c r="B66" s="13" t="s">
        <v>62</v>
      </c>
      <c r="C66" s="13" t="s">
        <v>130</v>
      </c>
      <c r="D66" s="34"/>
      <c r="E66" s="34"/>
      <c r="F66" s="34"/>
      <c r="G66" s="3">
        <f>+((+G9+G9)/2)/(+G37+F37+E37+D37)*$E$204</f>
        <v>78.90920418478899</v>
      </c>
      <c r="H66" s="3">
        <f>+((+H9+G9)/2)/(+H37+G37+F37+E37)*$D$204</f>
        <v>88.333478008422944</v>
      </c>
      <c r="I66" s="3">
        <f>+((+I9+G9)/2)/(+I37+H37+G37+F37)*$D$204</f>
        <v>84.225782218449382</v>
      </c>
      <c r="J66" s="3">
        <f>+((+J9+G9)/2)/(+J37+I37+H37+G37)*$D$204</f>
        <v>80.658063152122722</v>
      </c>
      <c r="K66" s="3">
        <f t="shared" ref="K66:S66" si="54">+((+K9+G9)/2)/(+K37+J37+I37+H37)*$D$204</f>
        <v>74.464602785394192</v>
      </c>
      <c r="L66" s="3">
        <f t="shared" si="54"/>
        <v>93.83837387290427</v>
      </c>
      <c r="M66" s="3">
        <f t="shared" si="54"/>
        <v>102.77089116492773</v>
      </c>
      <c r="N66" s="3">
        <f t="shared" si="54"/>
        <v>90.718534697066559</v>
      </c>
      <c r="O66" s="3">
        <f t="shared" si="54"/>
        <v>72.994939692222374</v>
      </c>
      <c r="P66" s="3">
        <f t="shared" si="54"/>
        <v>93.076296413228548</v>
      </c>
      <c r="Q66" s="3">
        <f t="shared" si="54"/>
        <v>102.22412203181435</v>
      </c>
      <c r="R66" s="3">
        <f t="shared" si="54"/>
        <v>88.317251105432263</v>
      </c>
      <c r="S66" s="3">
        <f t="shared" si="54"/>
        <v>73.160413201076125</v>
      </c>
      <c r="T66" s="3">
        <f>+((+T9+P9)/2)/(+T37+S37+R37+Q37)*$E$204</f>
        <v>88.662934817945384</v>
      </c>
      <c r="U66" s="3">
        <f>+((+U9+Q9)/2)/(+U37+T37+S37+R37)*$E$204</f>
        <v>85.997022073496453</v>
      </c>
      <c r="V66" s="3">
        <f>+((+V9+R9)/2)/(+V37+U37+T37+S37)*$E$204</f>
        <v>85.110249505207491</v>
      </c>
      <c r="W66" s="3">
        <f>+((+W9+S9)/2)/(+W37+V37+U37+T37)*$E$204</f>
        <v>76.166197374994326</v>
      </c>
      <c r="X66" s="3">
        <f>+((+X9+T9)/2)/(+X37+W37+V37+U37)*$D$204</f>
        <v>94.156410683679297</v>
      </c>
    </row>
    <row r="67" spans="2:24" x14ac:dyDescent="0.25">
      <c r="B67" s="1" t="s">
        <v>63</v>
      </c>
      <c r="C67" s="1" t="s">
        <v>130</v>
      </c>
      <c r="D67" s="5"/>
      <c r="E67" s="5"/>
      <c r="F67" s="5"/>
      <c r="G67" s="3">
        <f>+((+G17+G17)/2)/(+G38+F38+E38+D38)*$E$204</f>
        <v>72.055148239323572</v>
      </c>
      <c r="H67" s="3">
        <f>+((+H17+G17)/2)/(+H38+G38+F38+E38)*$D$204</f>
        <v>76.140379522065217</v>
      </c>
      <c r="I67" s="3">
        <f>+((+I17+G17)/2)/(+I38+H38+G38+F38)*$D$204</f>
        <v>92.604215410424231</v>
      </c>
      <c r="J67" s="3">
        <f>+((+J17+G17)/2)/(+J38+I38+H38+G38)*$D$204</f>
        <v>74.341694685535757</v>
      </c>
      <c r="K67" s="3">
        <f t="shared" ref="K67:S67" si="55">+((+K17+G17)/2)/(+K38+J38+I38+H38)*$D$204</f>
        <v>62.85143898386837</v>
      </c>
      <c r="L67" s="3">
        <f t="shared" si="55"/>
        <v>70.567077606588896</v>
      </c>
      <c r="M67" s="3">
        <f t="shared" si="55"/>
        <v>108.51095307308971</v>
      </c>
      <c r="N67" s="3">
        <f t="shared" si="55"/>
        <v>78.113998216787664</v>
      </c>
      <c r="O67" s="3">
        <f t="shared" si="55"/>
        <v>56.438686030947821</v>
      </c>
      <c r="P67" s="3">
        <f t="shared" si="55"/>
        <v>68.664630777730039</v>
      </c>
      <c r="Q67" s="3">
        <f t="shared" si="55"/>
        <v>93.85403504589344</v>
      </c>
      <c r="R67" s="3">
        <f t="shared" si="55"/>
        <v>71.619663231505342</v>
      </c>
      <c r="S67" s="3">
        <f t="shared" si="55"/>
        <v>60.646502500194025</v>
      </c>
      <c r="T67" s="3">
        <f>+((+T17+P17)/2)/(+T38+S38+R38+Q38)*$E$204</f>
        <v>61.710569859024417</v>
      </c>
      <c r="U67" s="3">
        <f>+((+U17+Q17)/2)/(+U38+T38+S38+R38)*$E$204</f>
        <v>78.556316158546764</v>
      </c>
      <c r="V67" s="3">
        <f>+((+V17+R17)/2)/(+V38+U38+T38+S38)*$E$204</f>
        <v>67.166327604349348</v>
      </c>
      <c r="W67" s="3">
        <f>+((+W17+S17)/2)/(+W38+V38+U38+T38)*$E$204</f>
        <v>57.444517677489955</v>
      </c>
      <c r="X67" s="3">
        <f>+((+X17+T17)/2)/(+X38+W38+V38+U38)*$D$204</f>
        <v>55.492104785135979</v>
      </c>
    </row>
    <row r="68" spans="2:24" x14ac:dyDescent="0.25">
      <c r="B68" s="1" t="s">
        <v>64</v>
      </c>
      <c r="C68" s="1" t="s">
        <v>130</v>
      </c>
      <c r="D68" s="5"/>
      <c r="E68" s="5"/>
      <c r="F68" s="5"/>
      <c r="G68" s="3">
        <f>+G62/(+G38+F38+E38+D38)*$E$204</f>
        <v>25.839960398159057</v>
      </c>
      <c r="H68" s="3">
        <f t="shared" ref="H68:S68" si="56">+H62/(+H38+G38+F38+E38)*$D$204</f>
        <v>31.845569365548517</v>
      </c>
      <c r="I68" s="3">
        <f t="shared" si="56"/>
        <v>23.90719936928809</v>
      </c>
      <c r="J68" s="3">
        <f t="shared" si="56"/>
        <v>30.258802018051014</v>
      </c>
      <c r="K68" s="3">
        <f t="shared" si="56"/>
        <v>30.909782142665737</v>
      </c>
      <c r="L68" s="3">
        <f t="shared" si="56"/>
        <v>37.392371846501597</v>
      </c>
      <c r="M68" s="3">
        <f t="shared" si="56"/>
        <v>20.81119575373754</v>
      </c>
      <c r="N68" s="3">
        <f t="shared" si="56"/>
        <v>29.837855050312061</v>
      </c>
      <c r="O68" s="3">
        <f t="shared" si="56"/>
        <v>32.266984400995732</v>
      </c>
      <c r="P68" s="3">
        <f t="shared" si="56"/>
        <v>37.474617887176969</v>
      </c>
      <c r="Q68" s="3">
        <f t="shared" si="56"/>
        <v>19.061449517224936</v>
      </c>
      <c r="R68" s="3">
        <f t="shared" si="56"/>
        <v>26.492138617960986</v>
      </c>
      <c r="S68" s="3">
        <f t="shared" si="56"/>
        <v>29.888211945494664</v>
      </c>
      <c r="T68" s="3">
        <f>+T62/(+T38+S38+R38+Q38)*$E$204</f>
        <v>38.582732146402805</v>
      </c>
      <c r="U68" s="3">
        <f>+U62/(+U38+T38+S38+R38)*$E$204</f>
        <v>18.837546331852941</v>
      </c>
      <c r="V68" s="3">
        <f>+V62/(+V38+U38+T38+S38)*$E$204</f>
        <v>29.218379515959313</v>
      </c>
      <c r="W68" s="3">
        <f>+W62/(+W38+V38+U38+T38)*$E$204</f>
        <v>38.735565144939251</v>
      </c>
      <c r="X68" s="3">
        <f>+X62/(+X38+W38+V38+U38)*$D$204</f>
        <v>51.36245977787005</v>
      </c>
    </row>
    <row r="70" spans="2:24" x14ac:dyDescent="0.25">
      <c r="B70" s="9" t="s">
        <v>149</v>
      </c>
    </row>
    <row r="72" spans="2:24" x14ac:dyDescent="0.25">
      <c r="B72" s="1" t="s">
        <v>139</v>
      </c>
      <c r="C72" s="1" t="s">
        <v>142</v>
      </c>
      <c r="G72" s="20">
        <f t="shared" ref="G72:X72" si="57">(+G39+F39+E39+D39)/(+G37+F37+E37+D37)</f>
        <v>0.12138239097214069</v>
      </c>
      <c r="H72" s="20">
        <f t="shared" si="57"/>
        <v>0.12310175898695959</v>
      </c>
      <c r="I72" s="20">
        <f t="shared" si="57"/>
        <v>0.11458647612807561</v>
      </c>
      <c r="J72" s="20">
        <f t="shared" si="57"/>
        <v>0.11132114583802091</v>
      </c>
      <c r="K72" s="20">
        <f t="shared" si="57"/>
        <v>9.8479266569230214E-2</v>
      </c>
      <c r="L72" s="20">
        <f t="shared" si="57"/>
        <v>7.9452775585372268E-2</v>
      </c>
      <c r="M72" s="20">
        <f t="shared" si="57"/>
        <v>7.8012826648798703E-2</v>
      </c>
      <c r="N72" s="20">
        <f t="shared" si="57"/>
        <v>7.0601605227644013E-2</v>
      </c>
      <c r="O72" s="20">
        <f t="shared" si="57"/>
        <v>7.6424511299043388E-2</v>
      </c>
      <c r="P72" s="20">
        <f t="shared" si="57"/>
        <v>8.1545209557206802E-2</v>
      </c>
      <c r="Q72" s="20">
        <f t="shared" si="57"/>
        <v>7.9052815316551575E-2</v>
      </c>
      <c r="R72" s="20">
        <f t="shared" si="57"/>
        <v>7.8074798265240122E-2</v>
      </c>
      <c r="S72" s="20">
        <f t="shared" si="57"/>
        <v>7.3860719199884989E-2</v>
      </c>
      <c r="T72" s="20">
        <f t="shared" si="57"/>
        <v>7.9019018205461644E-2</v>
      </c>
      <c r="U72" s="20">
        <f t="shared" si="57"/>
        <v>8.061891750836582E-2</v>
      </c>
      <c r="V72" s="20">
        <f t="shared" si="57"/>
        <v>7.4981343888906912E-2</v>
      </c>
      <c r="W72" s="20">
        <f t="shared" si="57"/>
        <v>8.7004405286343608E-2</v>
      </c>
      <c r="X72" s="20">
        <f t="shared" si="57"/>
        <v>8.2650923633593595E-2</v>
      </c>
    </row>
    <row r="73" spans="2:24" x14ac:dyDescent="0.25">
      <c r="B73" s="1" t="s">
        <v>140</v>
      </c>
      <c r="C73" s="1" t="s">
        <v>142</v>
      </c>
      <c r="G73" s="20">
        <f t="shared" ref="G73:X73" si="58">+(+G43+F43+E43+D43)/(+G37+F37+E37+D37)</f>
        <v>7.319854237686621E-2</v>
      </c>
      <c r="H73" s="20">
        <f t="shared" si="58"/>
        <v>7.8762480478584251E-2</v>
      </c>
      <c r="I73" s="20">
        <f t="shared" si="58"/>
        <v>8.1326665552291552E-2</v>
      </c>
      <c r="J73" s="20">
        <f t="shared" si="58"/>
        <v>8.8429931231938375E-2</v>
      </c>
      <c r="K73" s="20">
        <f t="shared" si="58"/>
        <v>7.0504535626713688E-2</v>
      </c>
      <c r="L73" s="20">
        <f t="shared" si="58"/>
        <v>6.4947023510559421E-2</v>
      </c>
      <c r="M73" s="20">
        <f t="shared" si="58"/>
        <v>6.3606777065186179E-2</v>
      </c>
      <c r="N73" s="20">
        <f t="shared" si="58"/>
        <v>5.6230319388214128E-2</v>
      </c>
      <c r="O73" s="20">
        <f t="shared" si="58"/>
        <v>6.0180692268589124E-2</v>
      </c>
      <c r="P73" s="20">
        <f t="shared" si="58"/>
        <v>6.1125080338719315E-2</v>
      </c>
      <c r="Q73" s="20">
        <f t="shared" si="58"/>
        <v>5.9215509764960317E-2</v>
      </c>
      <c r="R73" s="20">
        <f t="shared" si="58"/>
        <v>5.5955549428992543E-2</v>
      </c>
      <c r="S73" s="20">
        <f t="shared" si="58"/>
        <v>5.3734623046433776E-2</v>
      </c>
      <c r="T73" s="20">
        <f t="shared" si="58"/>
        <v>6.0376706762028609E-2</v>
      </c>
      <c r="U73" s="20">
        <f t="shared" si="58"/>
        <v>6.1656382075133805E-2</v>
      </c>
      <c r="V73" s="20">
        <f t="shared" si="58"/>
        <v>6.0478245352194933E-2</v>
      </c>
      <c r="W73" s="20">
        <f t="shared" si="58"/>
        <v>6.8554430264771329E-2</v>
      </c>
      <c r="X73" s="20">
        <f t="shared" si="58"/>
        <v>6.3964006855836988E-2</v>
      </c>
    </row>
    <row r="74" spans="2:24" x14ac:dyDescent="0.25">
      <c r="B74" s="1" t="s">
        <v>141</v>
      </c>
      <c r="C74" s="1" t="s">
        <v>142</v>
      </c>
      <c r="G74" s="20">
        <f>+(+G43+F43+E43+D43)/((+G14+G14)/2)</f>
        <v>6.5094448103197852E-2</v>
      </c>
      <c r="H74" s="20">
        <f>+(+H43+G43+F43+E43)/((+H14+G14)/2)</f>
        <v>6.8430782727068498E-2</v>
      </c>
      <c r="I74" s="20">
        <f>+(+I43+H43+G43+F43)/((+I14+G14)/2)</f>
        <v>6.9887153943544361E-2</v>
      </c>
      <c r="J74" s="20">
        <f>+(+J43+I43+H43+G43)/((+J14+G14)/2)</f>
        <v>7.8592266374670275E-2</v>
      </c>
      <c r="K74" s="20">
        <f t="shared" ref="K74:X74" si="59">+(+K43+J43+I43+H43)/((+K14+G14)/2)</f>
        <v>6.3857603124504281E-2</v>
      </c>
      <c r="L74" s="20">
        <f t="shared" si="59"/>
        <v>5.8046449985571222E-2</v>
      </c>
      <c r="M74" s="20">
        <f t="shared" si="59"/>
        <v>5.4884470048937622E-2</v>
      </c>
      <c r="N74" s="20">
        <f t="shared" si="59"/>
        <v>5.1719820123909799E-2</v>
      </c>
      <c r="O74" s="20">
        <f t="shared" si="59"/>
        <v>5.9702347864457675E-2</v>
      </c>
      <c r="P74" s="20">
        <f t="shared" si="59"/>
        <v>5.4718609475070783E-2</v>
      </c>
      <c r="Q74" s="20">
        <f t="shared" si="59"/>
        <v>5.3646553353158224E-2</v>
      </c>
      <c r="R74" s="20">
        <f t="shared" si="59"/>
        <v>5.9574948491434056E-2</v>
      </c>
      <c r="S74" s="20">
        <f t="shared" si="59"/>
        <v>5.4222360377162986E-2</v>
      </c>
      <c r="T74" s="20">
        <f t="shared" si="59"/>
        <v>5.5764331658432913E-2</v>
      </c>
      <c r="U74" s="20">
        <f t="shared" si="59"/>
        <v>5.7228615257481276E-2</v>
      </c>
      <c r="V74" s="20">
        <f t="shared" si="59"/>
        <v>5.9333138810048015E-2</v>
      </c>
      <c r="W74" s="20">
        <f t="shared" si="59"/>
        <v>5.9585134308326917E-2</v>
      </c>
      <c r="X74" s="20">
        <f t="shared" si="59"/>
        <v>5.2923652657754144E-2</v>
      </c>
    </row>
    <row r="75" spans="2:24" x14ac:dyDescent="0.25">
      <c r="B75" s="1" t="s">
        <v>148</v>
      </c>
      <c r="C75" s="1" t="s">
        <v>142</v>
      </c>
      <c r="G75" s="20">
        <f>(+G43+F43+E43+D43)/((+G22+G22)/2)</f>
        <v>9.4671227670087552E-2</v>
      </c>
      <c r="H75" s="20">
        <f>(+H43+G43+F43+E43)/((+H22+G22)/2)</f>
        <v>9.9473369839463519E-2</v>
      </c>
      <c r="I75" s="20">
        <f>(+I43+H43+G43+F43)/((+I22+G22)/2)</f>
        <v>0.10565763318361025</v>
      </c>
      <c r="J75" s="20">
        <f>(+J43+I43+H43+G43)/((+J22+G22)/2)</f>
        <v>0.11322719005848383</v>
      </c>
      <c r="K75" s="20">
        <f t="shared" ref="K75:X75" si="60">(+K43+J43+I43+H43)/((+K22+G22)/2)</f>
        <v>8.9022762801692912E-2</v>
      </c>
      <c r="L75" s="20">
        <f t="shared" si="60"/>
        <v>8.1546546546546542E-2</v>
      </c>
      <c r="M75" s="20">
        <f t="shared" si="60"/>
        <v>8.4493610528323479E-2</v>
      </c>
      <c r="N75" s="20">
        <f t="shared" si="60"/>
        <v>7.3243693332510948E-2</v>
      </c>
      <c r="O75" s="20">
        <f t="shared" si="60"/>
        <v>7.9669027117140537E-2</v>
      </c>
      <c r="P75" s="20">
        <f t="shared" si="60"/>
        <v>7.3958361756118862E-2</v>
      </c>
      <c r="Q75" s="20">
        <f t="shared" si="60"/>
        <v>7.8104298342781431E-2</v>
      </c>
      <c r="R75" s="20">
        <f t="shared" si="60"/>
        <v>8.2991924132453668E-2</v>
      </c>
      <c r="S75" s="20">
        <f t="shared" si="60"/>
        <v>7.2559119806435063E-2</v>
      </c>
      <c r="T75" s="20">
        <f t="shared" si="60"/>
        <v>7.3829296925953303E-2</v>
      </c>
      <c r="U75" s="20">
        <f t="shared" si="60"/>
        <v>7.9995220202610295E-2</v>
      </c>
      <c r="V75" s="20">
        <f t="shared" si="60"/>
        <v>8.0384673437264159E-2</v>
      </c>
      <c r="W75" s="20">
        <f t="shared" si="60"/>
        <v>7.7124007689409177E-2</v>
      </c>
      <c r="X75" s="20">
        <f t="shared" si="60"/>
        <v>6.7582607602100164E-2</v>
      </c>
    </row>
    <row r="77" spans="2:24" x14ac:dyDescent="0.25">
      <c r="B77" s="9" t="s">
        <v>65</v>
      </c>
      <c r="C77" s="11"/>
      <c r="D77" s="11"/>
      <c r="E77" s="11"/>
      <c r="F77" s="11"/>
    </row>
    <row r="79" spans="2:24" x14ac:dyDescent="0.25">
      <c r="B79" s="1" t="s">
        <v>69</v>
      </c>
      <c r="C79" s="1" t="s">
        <v>142</v>
      </c>
      <c r="D79" s="5"/>
      <c r="E79" s="5"/>
      <c r="F79" s="5"/>
      <c r="G79" s="20">
        <f t="shared" ref="G79:X79" si="61">+G18/G14</f>
        <v>0.31241571800420231</v>
      </c>
      <c r="H79" s="20">
        <f t="shared" si="61"/>
        <v>0.31172994397730414</v>
      </c>
      <c r="I79" s="20">
        <f t="shared" si="61"/>
        <v>0.36357721298511497</v>
      </c>
      <c r="J79" s="20">
        <f t="shared" si="61"/>
        <v>0.29922880822604558</v>
      </c>
      <c r="K79" s="20">
        <f t="shared" si="61"/>
        <v>0.25004589682393979</v>
      </c>
      <c r="L79" s="20">
        <f t="shared" si="61"/>
        <v>0.26248505369495012</v>
      </c>
      <c r="M79" s="20">
        <f t="shared" si="61"/>
        <v>0.33643156357589776</v>
      </c>
      <c r="N79" s="20">
        <f t="shared" si="61"/>
        <v>0.28827656759070841</v>
      </c>
      <c r="O79" s="20">
        <f t="shared" si="61"/>
        <v>0.25119351551856389</v>
      </c>
      <c r="P79" s="20">
        <f t="shared" si="61"/>
        <v>0.25821414766138384</v>
      </c>
      <c r="Q79" s="20">
        <f t="shared" si="61"/>
        <v>0.29277477930963769</v>
      </c>
      <c r="R79" s="20">
        <f t="shared" si="61"/>
        <v>0.27585297624507016</v>
      </c>
      <c r="S79" s="20">
        <f t="shared" si="61"/>
        <v>0.25397215939738627</v>
      </c>
      <c r="T79" s="20">
        <f t="shared" si="61"/>
        <v>0.23061831893045467</v>
      </c>
      <c r="U79" s="20">
        <f t="shared" si="61"/>
        <v>0.27610813113611277</v>
      </c>
      <c r="V79" s="20">
        <f t="shared" si="61"/>
        <v>0.24985435119629509</v>
      </c>
      <c r="W79" s="20">
        <f t="shared" si="61"/>
        <v>0.1984741481519666</v>
      </c>
      <c r="X79" s="20">
        <f t="shared" si="61"/>
        <v>0.2023693605972087</v>
      </c>
    </row>
    <row r="80" spans="2:24" x14ac:dyDescent="0.25">
      <c r="B80" s="1" t="s">
        <v>70</v>
      </c>
      <c r="C80" s="1" t="s">
        <v>142</v>
      </c>
      <c r="D80" s="5"/>
      <c r="E80" s="5"/>
      <c r="F80" s="5"/>
      <c r="G80" s="20">
        <f t="shared" ref="G80:X80" si="62">+G18/G22</f>
        <v>0.45436716077537059</v>
      </c>
      <c r="H80" s="20">
        <f t="shared" si="62"/>
        <v>0.45291806791464539</v>
      </c>
      <c r="I80" s="20">
        <f t="shared" si="62"/>
        <v>0.57128251911038408</v>
      </c>
      <c r="J80" s="20">
        <f t="shared" si="62"/>
        <v>0.42699929982647872</v>
      </c>
      <c r="K80" s="20">
        <f t="shared" si="62"/>
        <v>0.33341493268053857</v>
      </c>
      <c r="L80" s="20">
        <f t="shared" si="62"/>
        <v>0.35590472438558746</v>
      </c>
      <c r="M80" s="20">
        <f t="shared" si="62"/>
        <v>0.50700356603591734</v>
      </c>
      <c r="N80" s="20">
        <f t="shared" si="62"/>
        <v>0.40504015248570446</v>
      </c>
      <c r="O80" s="20">
        <f t="shared" si="62"/>
        <v>0.33545852062501913</v>
      </c>
      <c r="P80" s="20">
        <f t="shared" si="62"/>
        <v>0.34809796769150597</v>
      </c>
      <c r="Q80" s="20">
        <f t="shared" si="62"/>
        <v>0.413976723035759</v>
      </c>
      <c r="R80" s="20">
        <f t="shared" si="62"/>
        <v>0.38093504108417903</v>
      </c>
      <c r="S80" s="20">
        <f t="shared" si="62"/>
        <v>0.34043254899473585</v>
      </c>
      <c r="T80" s="20">
        <f t="shared" si="62"/>
        <v>0.29974500901797374</v>
      </c>
      <c r="U80" s="20">
        <f t="shared" si="62"/>
        <v>0.38142178826991241</v>
      </c>
      <c r="V80" s="20">
        <f t="shared" si="62"/>
        <v>0.33307445240101097</v>
      </c>
      <c r="W80" s="20">
        <f t="shared" si="62"/>
        <v>0.24762039514303355</v>
      </c>
      <c r="X80" s="20">
        <f t="shared" si="62"/>
        <v>0.25371312309257377</v>
      </c>
    </row>
    <row r="81" spans="2:24" x14ac:dyDescent="0.25">
      <c r="B81" s="6" t="s">
        <v>145</v>
      </c>
      <c r="C81" s="6"/>
      <c r="D81" s="35"/>
      <c r="E81" s="35"/>
      <c r="F81" s="35"/>
      <c r="G81" s="7">
        <f t="shared" ref="G81:P82" si="63">+G39+F39+E39+D39</f>
        <v>10326.000000000009</v>
      </c>
      <c r="H81" s="7">
        <f t="shared" si="63"/>
        <v>10337.088620596074</v>
      </c>
      <c r="I81" s="7">
        <f t="shared" si="63"/>
        <v>9628.2594644221317</v>
      </c>
      <c r="J81" s="7">
        <f t="shared" si="63"/>
        <v>9369.9157847238021</v>
      </c>
      <c r="K81" s="7">
        <f t="shared" si="63"/>
        <v>8153</v>
      </c>
      <c r="L81" s="7">
        <f t="shared" si="63"/>
        <v>6644</v>
      </c>
      <c r="M81" s="7">
        <f t="shared" si="63"/>
        <v>6520</v>
      </c>
      <c r="N81" s="7">
        <f t="shared" si="63"/>
        <v>5964</v>
      </c>
      <c r="O81" s="7">
        <f t="shared" si="63"/>
        <v>6615</v>
      </c>
      <c r="P81" s="7">
        <f t="shared" si="63"/>
        <v>7232</v>
      </c>
      <c r="Q81" s="7">
        <f t="shared" ref="Q81:X82" si="64">+Q39+P39+O39+N39</f>
        <v>7201</v>
      </c>
      <c r="R81" s="7">
        <f t="shared" si="64"/>
        <v>7363</v>
      </c>
      <c r="S81" s="7">
        <f t="shared" si="64"/>
        <v>7193</v>
      </c>
      <c r="T81" s="7">
        <f t="shared" si="64"/>
        <v>7778</v>
      </c>
      <c r="U81" s="7">
        <f t="shared" si="64"/>
        <v>7878</v>
      </c>
      <c r="V81" s="7">
        <f t="shared" si="64"/>
        <v>6933</v>
      </c>
      <c r="W81" s="7">
        <f t="shared" si="64"/>
        <v>7663</v>
      </c>
      <c r="X81" s="7">
        <f t="shared" si="64"/>
        <v>6944</v>
      </c>
    </row>
    <row r="82" spans="2:24" x14ac:dyDescent="0.25">
      <c r="B82" s="6" t="s">
        <v>146</v>
      </c>
      <c r="C82" s="6"/>
      <c r="D82" s="35"/>
      <c r="E82" s="35"/>
      <c r="F82" s="35"/>
      <c r="G82" s="7">
        <f t="shared" si="63"/>
        <v>-3183</v>
      </c>
      <c r="H82" s="7">
        <f t="shared" si="63"/>
        <v>-2621.3986344537816</v>
      </c>
      <c r="I82" s="7">
        <f t="shared" si="63"/>
        <v>-1582.3539915966387</v>
      </c>
      <c r="J82" s="7">
        <f t="shared" si="63"/>
        <v>-508.22478991596637</v>
      </c>
      <c r="K82" s="7">
        <f t="shared" si="63"/>
        <v>-871</v>
      </c>
      <c r="L82" s="7">
        <f t="shared" si="63"/>
        <v>11</v>
      </c>
      <c r="M82" s="7">
        <f t="shared" si="63"/>
        <v>18</v>
      </c>
      <c r="N82" s="7">
        <f t="shared" si="63"/>
        <v>-85</v>
      </c>
      <c r="O82" s="7">
        <f t="shared" si="63"/>
        <v>-195</v>
      </c>
      <c r="P82" s="7">
        <f t="shared" si="63"/>
        <v>-517</v>
      </c>
      <c r="Q82" s="7">
        <f t="shared" si="64"/>
        <v>-532</v>
      </c>
      <c r="R82" s="7">
        <f t="shared" si="64"/>
        <v>-766</v>
      </c>
      <c r="S82" s="7">
        <f t="shared" si="64"/>
        <v>-669</v>
      </c>
      <c r="T82" s="7">
        <f t="shared" si="64"/>
        <v>-510</v>
      </c>
      <c r="U82" s="7">
        <f t="shared" si="64"/>
        <v>-500</v>
      </c>
      <c r="V82" s="7">
        <f t="shared" si="64"/>
        <v>-141</v>
      </c>
      <c r="W82" s="7">
        <f t="shared" si="64"/>
        <v>-215</v>
      </c>
      <c r="X82" s="7">
        <f t="shared" si="64"/>
        <v>-297</v>
      </c>
    </row>
    <row r="83" spans="2:24" ht="60" x14ac:dyDescent="0.25">
      <c r="B83" s="13" t="s">
        <v>147</v>
      </c>
      <c r="C83" s="1" t="s">
        <v>129</v>
      </c>
      <c r="D83" s="5"/>
      <c r="E83" s="5"/>
      <c r="F83" s="5"/>
      <c r="G83" s="55">
        <f t="shared" ref="G83:U83" si="65">+G81/-G82</f>
        <v>3.2441093308199842</v>
      </c>
      <c r="H83" s="55">
        <f t="shared" si="65"/>
        <v>3.9433485944231461</v>
      </c>
      <c r="I83" s="55">
        <f t="shared" si="65"/>
        <v>6.0847695999470721</v>
      </c>
      <c r="J83" s="55">
        <f t="shared" si="65"/>
        <v>18.436557937823327</v>
      </c>
      <c r="K83" s="55">
        <f t="shared" si="65"/>
        <v>9.3605051664753152</v>
      </c>
      <c r="L83" s="55" t="s">
        <v>169</v>
      </c>
      <c r="M83" s="55" t="s">
        <v>169</v>
      </c>
      <c r="N83" s="55">
        <f t="shared" si="65"/>
        <v>70.164705882352948</v>
      </c>
      <c r="O83" s="55">
        <f t="shared" si="65"/>
        <v>33.92307692307692</v>
      </c>
      <c r="P83" s="55">
        <f t="shared" si="65"/>
        <v>13.988394584139265</v>
      </c>
      <c r="Q83" s="55">
        <f t="shared" si="65"/>
        <v>13.535714285714286</v>
      </c>
      <c r="R83" s="55">
        <f t="shared" si="65"/>
        <v>9.6122715404699743</v>
      </c>
      <c r="S83" s="55">
        <f t="shared" si="65"/>
        <v>10.751868460388639</v>
      </c>
      <c r="T83" s="55">
        <f t="shared" si="65"/>
        <v>15.250980392156864</v>
      </c>
      <c r="U83" s="55">
        <f t="shared" si="65"/>
        <v>15.756</v>
      </c>
      <c r="V83" s="55">
        <f>+V81/-V82</f>
        <v>49.170212765957444</v>
      </c>
      <c r="W83" s="55">
        <f>+W81/-W82</f>
        <v>35.641860465116281</v>
      </c>
      <c r="X83" s="55">
        <f>+X81/-X82</f>
        <v>23.380471380471381</v>
      </c>
    </row>
    <row r="85" spans="2:24" x14ac:dyDescent="0.25">
      <c r="B85" s="9" t="s">
        <v>66</v>
      </c>
      <c r="C85" s="11"/>
      <c r="D85" s="11"/>
      <c r="E85" s="11"/>
      <c r="F85" s="11"/>
    </row>
    <row r="87" spans="2:24" x14ac:dyDescent="0.25">
      <c r="B87" s="1" t="s">
        <v>68</v>
      </c>
      <c r="C87" s="1" t="s">
        <v>129</v>
      </c>
      <c r="D87" s="5"/>
      <c r="E87" s="5"/>
      <c r="F87" s="5"/>
      <c r="G87" s="4">
        <f t="shared" ref="G87:X87" si="66">(+G37+F37+E37+D37)/(+G38+F38+E38+D38)</f>
        <v>1.1381515573156376</v>
      </c>
      <c r="H87" s="4">
        <f t="shared" si="66"/>
        <v>1.1403831747281714</v>
      </c>
      <c r="I87" s="4">
        <f t="shared" si="66"/>
        <v>1.1294157735777375</v>
      </c>
      <c r="J87" s="4">
        <f t="shared" si="66"/>
        <v>1.1252658880276796</v>
      </c>
      <c r="K87" s="4">
        <f t="shared" si="66"/>
        <v>1.10923682941208</v>
      </c>
      <c r="L87" s="4">
        <f t="shared" si="66"/>
        <v>1.0863103743926836</v>
      </c>
      <c r="M87" s="4">
        <f t="shared" si="66"/>
        <v>1.0846137873754154</v>
      </c>
      <c r="N87" s="4">
        <f t="shared" si="66"/>
        <v>1.0759648452426442</v>
      </c>
      <c r="O87" s="4">
        <f t="shared" si="66"/>
        <v>1.082748527038691</v>
      </c>
      <c r="P87" s="4">
        <f t="shared" si="66"/>
        <v>1.0887852188324842</v>
      </c>
      <c r="Q87" s="4">
        <f t="shared" si="66"/>
        <v>1.0858385981642626</v>
      </c>
      <c r="R87" s="4">
        <f t="shared" si="66"/>
        <v>1.0846866948840632</v>
      </c>
      <c r="S87" s="4">
        <f t="shared" si="66"/>
        <v>1.0797512002040071</v>
      </c>
      <c r="T87" s="4">
        <f t="shared" si="66"/>
        <v>1.0857987512961369</v>
      </c>
      <c r="U87" s="4">
        <f t="shared" si="66"/>
        <v>1.0876882492403246</v>
      </c>
      <c r="V87" s="4">
        <f t="shared" si="66"/>
        <v>1.08105927744651</v>
      </c>
      <c r="W87" s="4">
        <f t="shared" si="66"/>
        <v>1.0952955367913149</v>
      </c>
      <c r="X87" s="4">
        <f t="shared" si="66"/>
        <v>1.090097571102346</v>
      </c>
    </row>
    <row r="88" spans="2:24" x14ac:dyDescent="0.25">
      <c r="B88" s="1" t="s">
        <v>67</v>
      </c>
      <c r="C88" s="1" t="s">
        <v>129</v>
      </c>
      <c r="D88" s="5"/>
      <c r="E88" s="5"/>
      <c r="F88" s="5"/>
      <c r="G88" s="4">
        <f>+(1+G75)/(+G74+1)</f>
        <v>1.0277691613354687</v>
      </c>
      <c r="H88" s="4">
        <f t="shared" ref="H88:X88" si="67">+(1+H75)/(+H74+1)</f>
        <v>1.0290543735862436</v>
      </c>
      <c r="I88" s="4">
        <f t="shared" si="67"/>
        <v>1.0334338804875056</v>
      </c>
      <c r="J88" s="4">
        <f t="shared" si="67"/>
        <v>1.0321112293899781</v>
      </c>
      <c r="K88" s="4">
        <f t="shared" si="67"/>
        <v>1.0236546316003943</v>
      </c>
      <c r="L88" s="4">
        <f t="shared" si="67"/>
        <v>1.022210836359118</v>
      </c>
      <c r="M88" s="4">
        <f t="shared" si="67"/>
        <v>1.0280686097104188</v>
      </c>
      <c r="N88" s="4">
        <f t="shared" si="67"/>
        <v>1.0204654060870177</v>
      </c>
      <c r="O88" s="4">
        <f t="shared" si="67"/>
        <v>1.0188417807065544</v>
      </c>
      <c r="P88" s="4">
        <f t="shared" si="67"/>
        <v>1.0182415974348111</v>
      </c>
      <c r="Q88" s="4">
        <f t="shared" si="67"/>
        <v>1.0232124756748722</v>
      </c>
      <c r="R88" s="4">
        <f t="shared" si="67"/>
        <v>1.0221003485165061</v>
      </c>
      <c r="S88" s="4">
        <f t="shared" si="67"/>
        <v>1.0173936354591377</v>
      </c>
      <c r="T88" s="4">
        <f t="shared" si="67"/>
        <v>1.0171107933142081</v>
      </c>
      <c r="U88" s="4">
        <f t="shared" si="67"/>
        <v>1.0215342307392845</v>
      </c>
      <c r="V88" s="4">
        <f t="shared" si="67"/>
        <v>1.0198724403645707</v>
      </c>
      <c r="W88" s="4">
        <f t="shared" si="67"/>
        <v>1.0165525853592983</v>
      </c>
      <c r="X88" s="4">
        <f t="shared" si="67"/>
        <v>1.0139221442194259</v>
      </c>
    </row>
    <row r="89" spans="2:24" x14ac:dyDescent="0.25">
      <c r="B89" s="1" t="s">
        <v>71</v>
      </c>
      <c r="C89" s="1" t="s">
        <v>129</v>
      </c>
      <c r="D89" s="5"/>
      <c r="E89" s="5"/>
      <c r="F89" s="5"/>
      <c r="G89" s="4">
        <f>+G88*G87</f>
        <v>1.1697570715349503</v>
      </c>
      <c r="H89" s="4">
        <f t="shared" ref="H89:X89" si="68">+H88*H87</f>
        <v>1.1735162935181902</v>
      </c>
      <c r="I89" s="4">
        <f t="shared" si="68"/>
        <v>1.1671765255722393</v>
      </c>
      <c r="J89" s="4">
        <f t="shared" si="68"/>
        <v>1.1613995590828539</v>
      </c>
      <c r="K89" s="4">
        <f t="shared" si="68"/>
        <v>1.1354754179694122</v>
      </c>
      <c r="L89" s="4">
        <f t="shared" si="68"/>
        <v>1.1104382363535317</v>
      </c>
      <c r="M89" s="4">
        <f t="shared" si="68"/>
        <v>1.115057388459795</v>
      </c>
      <c r="N89" s="4">
        <f t="shared" si="68"/>
        <v>1.0979849027358901</v>
      </c>
      <c r="O89" s="4">
        <f t="shared" si="68"/>
        <v>1.1031494373454989</v>
      </c>
      <c r="P89" s="4">
        <f t="shared" si="68"/>
        <v>1.1086464004873993</v>
      </c>
      <c r="Q89" s="4">
        <f t="shared" si="68"/>
        <v>1.1110436002109878</v>
      </c>
      <c r="R89" s="4">
        <f t="shared" si="68"/>
        <v>1.1086586488722181</v>
      </c>
      <c r="S89" s="4">
        <f t="shared" si="68"/>
        <v>1.098531998966922</v>
      </c>
      <c r="T89" s="4">
        <f t="shared" si="68"/>
        <v>1.1043776293103904</v>
      </c>
      <c r="U89" s="4">
        <f t="shared" si="68"/>
        <v>1.1111107789718742</v>
      </c>
      <c r="V89" s="4">
        <f t="shared" si="68"/>
        <v>1.1025425634681316</v>
      </c>
      <c r="W89" s="4">
        <f t="shared" si="68"/>
        <v>1.1134255096577115</v>
      </c>
      <c r="X89" s="4">
        <f t="shared" si="68"/>
        <v>1.1052740667004788</v>
      </c>
    </row>
    <row r="91" spans="2:24" x14ac:dyDescent="0.25">
      <c r="B91" s="9" t="s">
        <v>72</v>
      </c>
      <c r="C91" s="11"/>
      <c r="D91" s="11"/>
      <c r="E91" s="11"/>
      <c r="F91" s="11"/>
    </row>
    <row r="93" spans="2:24" x14ac:dyDescent="0.25">
      <c r="B93" s="1" t="s">
        <v>73</v>
      </c>
      <c r="C93" s="1" t="s">
        <v>150</v>
      </c>
      <c r="D93" s="5"/>
      <c r="E93" s="5"/>
      <c r="F93" s="5"/>
      <c r="G93" s="4">
        <f t="shared" ref="G93:X93" si="69">+G22/G48/1000</f>
        <v>26.31</v>
      </c>
      <c r="H93" s="4">
        <f t="shared" si="69"/>
        <v>26.880800000000001</v>
      </c>
      <c r="I93" s="4">
        <f t="shared" si="69"/>
        <v>25.4312</v>
      </c>
      <c r="J93" s="4">
        <f t="shared" si="69"/>
        <v>26.279199999999999</v>
      </c>
      <c r="K93" s="4">
        <f t="shared" si="69"/>
        <v>26.143999999999998</v>
      </c>
      <c r="L93" s="4">
        <f t="shared" si="69"/>
        <v>26.3992</v>
      </c>
      <c r="M93" s="4">
        <f t="shared" si="69"/>
        <v>24.901599999999998</v>
      </c>
      <c r="N93" s="4">
        <f t="shared" si="69"/>
        <v>25.602400000000003</v>
      </c>
      <c r="O93" s="4">
        <f t="shared" si="69"/>
        <v>26.162400000000002</v>
      </c>
      <c r="P93" s="4">
        <f t="shared" si="69"/>
        <v>32.239200000000004</v>
      </c>
      <c r="Q93" s="4">
        <f t="shared" si="69"/>
        <v>30.3476</v>
      </c>
      <c r="R93" s="4">
        <f t="shared" si="69"/>
        <v>25.2652</v>
      </c>
      <c r="S93" s="4">
        <f t="shared" si="69"/>
        <v>31.533999999999999</v>
      </c>
      <c r="T93" s="4">
        <f t="shared" si="69"/>
        <v>32.158000000000001</v>
      </c>
      <c r="U93" s="4">
        <f t="shared" si="69"/>
        <v>29.905999999999999</v>
      </c>
      <c r="V93" s="4">
        <f t="shared" si="69"/>
        <v>30.3872</v>
      </c>
      <c r="W93" s="4">
        <f t="shared" si="69"/>
        <v>31.0976</v>
      </c>
      <c r="X93" s="4">
        <f t="shared" si="69"/>
        <v>31.456</v>
      </c>
    </row>
    <row r="94" spans="2:24" x14ac:dyDescent="0.25">
      <c r="B94" s="1" t="s">
        <v>74</v>
      </c>
      <c r="C94" s="1" t="s">
        <v>150</v>
      </c>
      <c r="D94" s="5"/>
      <c r="E94" s="5"/>
      <c r="F94" s="5"/>
      <c r="G94" s="43">
        <f>(+G44+F44+E44+D44)/((+G48+G48)/2)/1000</f>
        <v>2.4908000000000001</v>
      </c>
      <c r="H94" s="43">
        <f t="shared" ref="H94:X94" si="70">(+H44+G44+F44+E44)/((+H48+H48)/2)/1000</f>
        <v>2.4397285797492412</v>
      </c>
      <c r="I94" s="43">
        <f t="shared" si="70"/>
        <v>2.3854043039759665</v>
      </c>
      <c r="J94" s="43">
        <f t="shared" si="70"/>
        <v>2.5214627142025079</v>
      </c>
      <c r="K94" s="43">
        <f t="shared" si="70"/>
        <v>2.3348</v>
      </c>
      <c r="L94" s="43">
        <f t="shared" si="70"/>
        <v>2.1724000000000001</v>
      </c>
      <c r="M94" s="43">
        <f t="shared" si="70"/>
        <v>2.1264000000000003</v>
      </c>
      <c r="N94" s="43">
        <f t="shared" si="70"/>
        <v>1.9</v>
      </c>
      <c r="O94" s="43">
        <f t="shared" si="70"/>
        <v>2.0836000000000001</v>
      </c>
      <c r="P94" s="43">
        <f t="shared" si="70"/>
        <v>2.1684000000000001</v>
      </c>
      <c r="Q94" s="43">
        <f t="shared" si="70"/>
        <v>2.1576</v>
      </c>
      <c r="R94" s="43">
        <f t="shared" si="70"/>
        <v>2.1108000000000002</v>
      </c>
      <c r="S94" s="43">
        <f t="shared" si="70"/>
        <v>2.0931999999999999</v>
      </c>
      <c r="T94" s="43">
        <f t="shared" si="70"/>
        <v>2.3771999999999998</v>
      </c>
      <c r="U94" s="43">
        <f t="shared" si="70"/>
        <v>2.41</v>
      </c>
      <c r="V94" s="43">
        <f t="shared" si="70"/>
        <v>2.2368000000000001</v>
      </c>
      <c r="W94" s="43">
        <f t="shared" si="70"/>
        <v>2.4152</v>
      </c>
      <c r="X94" s="43">
        <f t="shared" si="70"/>
        <v>2.1496</v>
      </c>
    </row>
    <row r="95" spans="2:24" x14ac:dyDescent="0.25">
      <c r="B95" s="1" t="s">
        <v>75</v>
      </c>
      <c r="C95" s="1" t="s">
        <v>124</v>
      </c>
      <c r="D95" s="5"/>
      <c r="E95" s="5"/>
      <c r="F95" s="5"/>
      <c r="G95" s="4">
        <f t="shared" ref="G95:X95" si="71">+G48*G54*1000</f>
        <v>34375</v>
      </c>
      <c r="H95" s="4">
        <f t="shared" si="71"/>
        <v>84700</v>
      </c>
      <c r="I95" s="4">
        <f t="shared" si="71"/>
        <v>84875</v>
      </c>
      <c r="J95" s="4">
        <f t="shared" si="71"/>
        <v>87500</v>
      </c>
      <c r="K95" s="4">
        <f t="shared" si="71"/>
        <v>69400</v>
      </c>
      <c r="L95" s="4">
        <f t="shared" si="71"/>
        <v>78050</v>
      </c>
      <c r="M95" s="4">
        <f t="shared" si="71"/>
        <v>60000</v>
      </c>
      <c r="N95" s="4">
        <f t="shared" si="71"/>
        <v>60949.999999999993</v>
      </c>
      <c r="O95" s="4">
        <f t="shared" si="71"/>
        <v>60000</v>
      </c>
      <c r="P95" s="4">
        <f t="shared" si="71"/>
        <v>71500</v>
      </c>
      <c r="Q95" s="4">
        <f t="shared" si="71"/>
        <v>69900</v>
      </c>
      <c r="R95" s="4">
        <f t="shared" si="71"/>
        <v>50550</v>
      </c>
      <c r="S95" s="4">
        <f t="shared" si="71"/>
        <v>46625</v>
      </c>
      <c r="T95" s="4">
        <f t="shared" si="71"/>
        <v>47500</v>
      </c>
      <c r="U95" s="4">
        <f t="shared" si="71"/>
        <v>51625</v>
      </c>
      <c r="V95" s="4">
        <f t="shared" si="71"/>
        <v>56250</v>
      </c>
      <c r="W95" s="4">
        <f t="shared" si="71"/>
        <v>56500</v>
      </c>
      <c r="X95" s="4">
        <f t="shared" si="71"/>
        <v>69375</v>
      </c>
    </row>
    <row r="96" spans="2:24" x14ac:dyDescent="0.25">
      <c r="B96" s="1" t="s">
        <v>77</v>
      </c>
      <c r="C96" s="1" t="s">
        <v>129</v>
      </c>
      <c r="D96" s="5"/>
      <c r="E96" s="5"/>
      <c r="F96" s="5"/>
      <c r="G96" s="4">
        <f t="shared" ref="G96:X96" si="72">+G54/G93</f>
        <v>0.5226149752945648</v>
      </c>
      <c r="H96" s="4">
        <f t="shared" si="72"/>
        <v>1.2603791553822803</v>
      </c>
      <c r="I96" s="4">
        <f t="shared" si="72"/>
        <v>1.3349743622007613</v>
      </c>
      <c r="J96" s="4">
        <f t="shared" si="72"/>
        <v>1.3318518067521081</v>
      </c>
      <c r="K96" s="4">
        <f t="shared" si="72"/>
        <v>1.061811505507956</v>
      </c>
      <c r="L96" s="4">
        <f t="shared" si="72"/>
        <v>1.182611594290736</v>
      </c>
      <c r="M96" s="4">
        <f t="shared" si="72"/>
        <v>0.96379349118128965</v>
      </c>
      <c r="N96" s="4">
        <f t="shared" si="72"/>
        <v>0.95225447614286141</v>
      </c>
      <c r="O96" s="4">
        <f t="shared" si="72"/>
        <v>0.91734703238235016</v>
      </c>
      <c r="P96" s="4">
        <f t="shared" si="72"/>
        <v>0.88711878706667657</v>
      </c>
      <c r="Q96" s="4">
        <f t="shared" si="72"/>
        <v>0.9213249153145554</v>
      </c>
      <c r="R96" s="4">
        <f t="shared" si="72"/>
        <v>0.80031030825008309</v>
      </c>
      <c r="S96" s="4">
        <f t="shared" si="72"/>
        <v>0.5914251284328027</v>
      </c>
      <c r="T96" s="4">
        <f t="shared" si="72"/>
        <v>0.59083276323154421</v>
      </c>
      <c r="U96" s="4">
        <f t="shared" si="72"/>
        <v>0.69049689025613592</v>
      </c>
      <c r="V96" s="4">
        <f t="shared" si="72"/>
        <v>0.74044334456613314</v>
      </c>
      <c r="W96" s="4">
        <f t="shared" si="72"/>
        <v>0.7267441860465117</v>
      </c>
      <c r="X96" s="4">
        <f t="shared" si="72"/>
        <v>0.8821846388606307</v>
      </c>
    </row>
    <row r="97" spans="2:24" x14ac:dyDescent="0.25">
      <c r="B97" s="28" t="s">
        <v>152</v>
      </c>
      <c r="C97" s="1" t="s">
        <v>129</v>
      </c>
      <c r="D97" s="5"/>
      <c r="E97" s="5"/>
      <c r="F97" s="5"/>
      <c r="G97" s="55" t="s">
        <v>155</v>
      </c>
      <c r="H97" s="55" t="s">
        <v>155</v>
      </c>
      <c r="I97" s="4">
        <f t="shared" ref="I97:X97" si="73">+I55/+I94</f>
        <v>9.0473747156292568</v>
      </c>
      <c r="J97" s="4">
        <f t="shared" si="73"/>
        <v>9.8451901985992514</v>
      </c>
      <c r="K97" s="4">
        <f t="shared" si="73"/>
        <v>12.329148371393648</v>
      </c>
      <c r="L97" s="4">
        <f t="shared" si="73"/>
        <v>14.119213480518944</v>
      </c>
      <c r="M97" s="4">
        <f t="shared" si="73"/>
        <v>14.104838997492831</v>
      </c>
      <c r="N97" s="4">
        <f t="shared" si="73"/>
        <v>14.37414187643019</v>
      </c>
      <c r="O97" s="4">
        <f t="shared" si="73"/>
        <v>12.280847099190353</v>
      </c>
      <c r="P97" s="4">
        <f t="shared" si="73"/>
        <v>11.659306401033019</v>
      </c>
      <c r="Q97" s="4">
        <f t="shared" si="73"/>
        <v>11.637255520078542</v>
      </c>
      <c r="R97" s="4">
        <f t="shared" si="73"/>
        <v>11.717757710444673</v>
      </c>
      <c r="S97" s="4">
        <f t="shared" si="73"/>
        <v>11.2116308303117</v>
      </c>
      <c r="T97" s="4">
        <f t="shared" si="73"/>
        <v>9.1997710130295829</v>
      </c>
      <c r="U97" s="4">
        <f t="shared" si="73"/>
        <v>8.2837160398790832</v>
      </c>
      <c r="V97" s="4">
        <f t="shared" si="73"/>
        <v>8.6740266363863832</v>
      </c>
      <c r="W97" s="4">
        <f t="shared" si="73"/>
        <v>8.2825657765137972</v>
      </c>
      <c r="X97" s="4">
        <f t="shared" si="73"/>
        <v>10.033783350230356</v>
      </c>
    </row>
    <row r="98" spans="2:24" x14ac:dyDescent="0.25">
      <c r="B98" s="1" t="s">
        <v>76</v>
      </c>
      <c r="C98" s="1" t="s">
        <v>142</v>
      </c>
      <c r="D98" s="5"/>
      <c r="E98" s="5"/>
      <c r="F98" s="5"/>
      <c r="G98" s="43">
        <v>0</v>
      </c>
      <c r="H98" s="43">
        <v>0</v>
      </c>
      <c r="I98" s="43">
        <v>0</v>
      </c>
      <c r="J98" s="43">
        <f>+J50/G94</f>
        <v>0.68251164284567201</v>
      </c>
      <c r="K98" s="4">
        <f t="shared" ref="K98:M98" si="74">+J98</f>
        <v>0.68251164284567201</v>
      </c>
      <c r="L98" s="4">
        <f t="shared" si="74"/>
        <v>0.68251164284567201</v>
      </c>
      <c r="M98" s="4">
        <f t="shared" si="74"/>
        <v>0.68251164284567201</v>
      </c>
      <c r="N98" s="43">
        <f>+N50/K94</f>
        <v>0.89943464108274807</v>
      </c>
      <c r="O98" s="4">
        <f t="shared" ref="O98:Q99" si="75">+N98</f>
        <v>0.89943464108274807</v>
      </c>
      <c r="P98" s="4">
        <f t="shared" si="75"/>
        <v>0.89943464108274807</v>
      </c>
      <c r="Q98" s="4">
        <f t="shared" si="75"/>
        <v>0.89943464108274807</v>
      </c>
      <c r="R98" s="43">
        <f>+R50/O94</f>
        <v>1.1998464196582836</v>
      </c>
      <c r="S98" s="4">
        <f t="shared" ref="S98:U99" si="76">+R98</f>
        <v>1.1998464196582836</v>
      </c>
      <c r="T98" s="4">
        <f t="shared" si="76"/>
        <v>1.1998464196582836</v>
      </c>
      <c r="U98" s="4">
        <f t="shared" si="76"/>
        <v>1.1998464196582836</v>
      </c>
      <c r="V98" s="43">
        <f>+V50/S94</f>
        <v>1.3854385629657939</v>
      </c>
      <c r="W98" s="4">
        <f>+V98</f>
        <v>1.3854385629657939</v>
      </c>
      <c r="X98" s="4">
        <f>+W98</f>
        <v>1.3854385629657939</v>
      </c>
    </row>
    <row r="99" spans="2:24" x14ac:dyDescent="0.25">
      <c r="B99" s="1" t="s">
        <v>153</v>
      </c>
      <c r="C99" s="1" t="s">
        <v>142</v>
      </c>
      <c r="D99" s="5"/>
      <c r="E99" s="5"/>
      <c r="F99" s="5"/>
      <c r="G99" s="43">
        <v>0</v>
      </c>
      <c r="H99" s="43">
        <v>0</v>
      </c>
      <c r="I99" s="43">
        <v>0</v>
      </c>
      <c r="J99" s="43">
        <f>+K50/K55</f>
        <v>5.9056289626327425E-2</v>
      </c>
      <c r="K99" s="43">
        <f>+J99</f>
        <v>5.9056289626327425E-2</v>
      </c>
      <c r="L99" s="43">
        <f>+K99</f>
        <v>5.9056289626327425E-2</v>
      </c>
      <c r="M99" s="43">
        <v>0</v>
      </c>
      <c r="N99" s="43">
        <f>+O50/O55</f>
        <v>8.2068523805609861E-2</v>
      </c>
      <c r="O99" s="4">
        <f t="shared" si="75"/>
        <v>8.2068523805609861E-2</v>
      </c>
      <c r="P99" s="4">
        <f t="shared" si="75"/>
        <v>8.2068523805609861E-2</v>
      </c>
      <c r="Q99" s="4">
        <f t="shared" si="75"/>
        <v>8.2068523805609861E-2</v>
      </c>
      <c r="R99" s="43">
        <f>+S50/S55</f>
        <v>0.10652719544908623</v>
      </c>
      <c r="S99" s="4">
        <f t="shared" si="76"/>
        <v>0.10652719544908623</v>
      </c>
      <c r="T99" s="4">
        <f t="shared" si="76"/>
        <v>0.10652719544908623</v>
      </c>
      <c r="U99" s="4">
        <f t="shared" si="76"/>
        <v>0.10652719544908623</v>
      </c>
      <c r="V99" s="43">
        <f>+W50/W55</f>
        <v>0.14497062269319874</v>
      </c>
      <c r="W99" s="4">
        <f>+V99</f>
        <v>0.14497062269319874</v>
      </c>
      <c r="X99" s="4">
        <f>+W99</f>
        <v>0.14497062269319874</v>
      </c>
    </row>
    <row r="100" spans="2:24" x14ac:dyDescent="0.25">
      <c r="B100" s="28" t="s">
        <v>154</v>
      </c>
      <c r="C100" s="28" t="s">
        <v>142</v>
      </c>
      <c r="D100" s="5"/>
      <c r="E100" s="5"/>
      <c r="F100" s="5"/>
      <c r="G100" s="55" t="s">
        <v>155</v>
      </c>
      <c r="H100" s="4">
        <f t="shared" ref="H100:I100" si="77">+H50/H54</f>
        <v>0</v>
      </c>
      <c r="I100" s="4">
        <f t="shared" si="77"/>
        <v>0</v>
      </c>
      <c r="J100" s="4">
        <f t="shared" ref="J100:X100" si="78">+J50/J54</f>
        <v>4.8571428571428571E-2</v>
      </c>
      <c r="K100" s="4">
        <f t="shared" si="78"/>
        <v>6.1239193083573479E-2</v>
      </c>
      <c r="L100" s="4">
        <f t="shared" si="78"/>
        <v>5.4452274183215889E-2</v>
      </c>
      <c r="M100" s="4">
        <f t="shared" si="78"/>
        <v>7.0833333333333331E-2</v>
      </c>
      <c r="N100" s="4">
        <f t="shared" si="78"/>
        <v>8.6136177194421668E-2</v>
      </c>
      <c r="O100" s="4">
        <f t="shared" si="78"/>
        <v>8.7500000000000008E-2</v>
      </c>
      <c r="P100" s="4">
        <f t="shared" si="78"/>
        <v>7.3426573426573424E-2</v>
      </c>
      <c r="Q100" s="4">
        <f t="shared" si="78"/>
        <v>7.5107296137339061E-2</v>
      </c>
      <c r="R100" s="4">
        <f t="shared" si="78"/>
        <v>0.12363996043521266</v>
      </c>
      <c r="S100" s="4">
        <f t="shared" si="78"/>
        <v>0.13404825737265416</v>
      </c>
      <c r="T100" s="4">
        <f t="shared" si="78"/>
        <v>0.13157894736842105</v>
      </c>
      <c r="U100" s="4">
        <f t="shared" si="78"/>
        <v>0.12106537530266345</v>
      </c>
      <c r="V100" s="4">
        <f t="shared" si="78"/>
        <v>0.12888888888888889</v>
      </c>
      <c r="W100" s="4">
        <f t="shared" si="78"/>
        <v>0.12831858407079644</v>
      </c>
      <c r="X100" s="4">
        <f t="shared" si="78"/>
        <v>0.10450450450450451</v>
      </c>
    </row>
    <row r="102" spans="2:24" ht="30" x14ac:dyDescent="0.25">
      <c r="B102" s="12" t="s">
        <v>78</v>
      </c>
      <c r="C102" s="32"/>
      <c r="D102" s="32"/>
      <c r="E102" s="32"/>
      <c r="F102" s="32"/>
    </row>
    <row r="104" spans="2:24" x14ac:dyDescent="0.25">
      <c r="B104" s="6" t="s">
        <v>79</v>
      </c>
      <c r="C104" s="6"/>
      <c r="D104" s="35"/>
      <c r="E104" s="35"/>
      <c r="F104" s="35"/>
      <c r="G104" s="45">
        <f>(+G61/G14)*1.2</f>
        <v>6.6196255527330883E-2</v>
      </c>
      <c r="H104" s="45">
        <f t="shared" ref="H104:X104" si="79">+H61/H14</f>
        <v>7.7550978604860765E-2</v>
      </c>
      <c r="I104" s="45">
        <f t="shared" si="79"/>
        <v>4.4735182534359701E-2</v>
      </c>
      <c r="J104" s="45">
        <f t="shared" si="79"/>
        <v>7.5999189341980355E-2</v>
      </c>
      <c r="K104" s="45">
        <f t="shared" si="79"/>
        <v>8.4496052873141173E-2</v>
      </c>
      <c r="L104" s="45">
        <f t="shared" si="79"/>
        <v>9.1633421614312691E-2</v>
      </c>
      <c r="M104" s="45">
        <f t="shared" si="79"/>
        <v>4.6025773580481148E-2</v>
      </c>
      <c r="N104" s="45">
        <f t="shared" si="79"/>
        <v>6.350424214119714E-2</v>
      </c>
      <c r="O104" s="45">
        <f t="shared" si="79"/>
        <v>7.7506955018489476E-2</v>
      </c>
      <c r="P104" s="45">
        <f t="shared" si="79"/>
        <v>7.8469269424043295E-2</v>
      </c>
      <c r="Q104" s="45">
        <f t="shared" si="79"/>
        <v>4.1425468646587804E-2</v>
      </c>
      <c r="R104" s="45">
        <f t="shared" si="79"/>
        <v>7.9221315234339174E-2</v>
      </c>
      <c r="S104" s="45">
        <f t="shared" si="79"/>
        <v>7.5714704796873367E-2</v>
      </c>
      <c r="T104" s="45">
        <f t="shared" si="79"/>
        <v>0.10131779162240533</v>
      </c>
      <c r="U104" s="45">
        <f t="shared" si="79"/>
        <v>4.6513429251950969E-2</v>
      </c>
      <c r="V104" s="45">
        <f t="shared" si="79"/>
        <v>6.661334439276792E-2</v>
      </c>
      <c r="W104" s="45">
        <f t="shared" si="79"/>
        <v>9.2994484251765555E-2</v>
      </c>
      <c r="X104" s="45">
        <f t="shared" si="79"/>
        <v>0.11262577085361895</v>
      </c>
    </row>
    <row r="105" spans="2:24" x14ac:dyDescent="0.25">
      <c r="B105" s="6" t="s">
        <v>156</v>
      </c>
      <c r="C105" s="6"/>
      <c r="D105" s="35"/>
      <c r="E105" s="35"/>
      <c r="F105" s="35"/>
      <c r="G105" s="45">
        <f>(+(+G22-G43-F43-E43-D43)/+G14)*1.4</f>
        <v>0.87148576744963968</v>
      </c>
      <c r="H105" s="45">
        <f t="shared" ref="H105:X105" si="80">+(+H22-H43-G43-F43-E43)/+H14</f>
        <v>0.62053241890462651</v>
      </c>
      <c r="I105" s="45">
        <f t="shared" si="80"/>
        <v>0.56801803909348669</v>
      </c>
      <c r="J105" s="45">
        <f t="shared" si="80"/>
        <v>0.62137834071871745</v>
      </c>
      <c r="K105" s="45">
        <f t="shared" si="80"/>
        <v>0.68297916284193139</v>
      </c>
      <c r="L105" s="45">
        <f t="shared" si="80"/>
        <v>0.67682456669683866</v>
      </c>
      <c r="M105" s="45">
        <f t="shared" si="80"/>
        <v>0.60690493194197215</v>
      </c>
      <c r="N105" s="45">
        <f t="shared" si="80"/>
        <v>0.65890516062314441</v>
      </c>
      <c r="O105" s="45">
        <f t="shared" si="80"/>
        <v>0.68917077861861309</v>
      </c>
      <c r="P105" s="45">
        <f t="shared" si="80"/>
        <v>0.69189353360207628</v>
      </c>
      <c r="Q105" s="45">
        <f t="shared" si="80"/>
        <v>0.65694417256261828</v>
      </c>
      <c r="R105" s="45">
        <f t="shared" si="80"/>
        <v>0.66364761992112264</v>
      </c>
      <c r="S105" s="45">
        <f t="shared" si="80"/>
        <v>0.69650714941375758</v>
      </c>
      <c r="T105" s="45">
        <f t="shared" si="80"/>
        <v>0.71250705788904523</v>
      </c>
      <c r="U105" s="45">
        <f t="shared" si="80"/>
        <v>0.66555643771421935</v>
      </c>
      <c r="V105" s="45">
        <f t="shared" si="80"/>
        <v>0.69492747183300252</v>
      </c>
      <c r="W105" s="45">
        <f t="shared" si="80"/>
        <v>0.73927522037218418</v>
      </c>
      <c r="X105" s="45">
        <f t="shared" si="80"/>
        <v>0.74312317429406038</v>
      </c>
    </row>
    <row r="106" spans="2:24" x14ac:dyDescent="0.25">
      <c r="B106" s="6" t="s">
        <v>80</v>
      </c>
      <c r="C106" s="6"/>
      <c r="D106" s="35"/>
      <c r="E106" s="35"/>
      <c r="F106" s="35"/>
      <c r="G106" s="45">
        <f>((+G39+F39+E39+D39)/+G14)*3.3</f>
        <v>0.35621413115062595</v>
      </c>
      <c r="H106" s="45">
        <f t="shared" ref="H106:X106" si="81">(+H39+G39+F39+E39)/+H14</f>
        <v>0.10587048843798148</v>
      </c>
      <c r="I106" s="45">
        <f t="shared" si="81"/>
        <v>9.6379938381987121E-2</v>
      </c>
      <c r="J106" s="45">
        <f t="shared" si="81"/>
        <v>9.9944702293562754E-2</v>
      </c>
      <c r="K106" s="45">
        <f t="shared" si="81"/>
        <v>9.3549201395263445E-2</v>
      </c>
      <c r="L106" s="45">
        <f t="shared" si="81"/>
        <v>7.4245421122621169E-2</v>
      </c>
      <c r="M106" s="45">
        <f t="shared" si="81"/>
        <v>6.94969994777066E-2</v>
      </c>
      <c r="N106" s="45">
        <f t="shared" si="81"/>
        <v>6.6317510091069815E-2</v>
      </c>
      <c r="O106" s="45">
        <f t="shared" si="81"/>
        <v>7.573242355203956E-2</v>
      </c>
      <c r="P106" s="45">
        <f t="shared" si="81"/>
        <v>6.6559905755885662E-2</v>
      </c>
      <c r="Q106" s="45">
        <f t="shared" si="81"/>
        <v>6.7125292467164449E-2</v>
      </c>
      <c r="R106" s="45">
        <f t="shared" si="81"/>
        <v>8.4414839952306711E-2</v>
      </c>
      <c r="S106" s="45">
        <f t="shared" si="81"/>
        <v>6.8068475391064892E-2</v>
      </c>
      <c r="T106" s="45">
        <f t="shared" si="81"/>
        <v>7.4435608126860175E-2</v>
      </c>
      <c r="U106" s="45">
        <f t="shared" si="81"/>
        <v>7.6276601924827173E-2</v>
      </c>
      <c r="V106" s="45">
        <f t="shared" si="81"/>
        <v>6.8459874988891195E-2</v>
      </c>
      <c r="W106" s="45">
        <f t="shared" si="81"/>
        <v>7.9004072374864689E-2</v>
      </c>
      <c r="X106" s="45">
        <f t="shared" si="81"/>
        <v>7.0431678026614736E-2</v>
      </c>
    </row>
    <row r="107" spans="2:24" x14ac:dyDescent="0.25">
      <c r="B107" s="6" t="s">
        <v>81</v>
      </c>
      <c r="C107" s="6"/>
      <c r="D107" s="35"/>
      <c r="E107" s="35"/>
      <c r="F107" s="35"/>
      <c r="G107" s="45">
        <f t="shared" ref="G107:X107" si="82">+G95/+G18</f>
        <v>1.1502041089473332</v>
      </c>
      <c r="H107" s="45">
        <f t="shared" si="82"/>
        <v>2.7827972533429706</v>
      </c>
      <c r="I107" s="45">
        <f t="shared" si="82"/>
        <v>2.3368024008149555</v>
      </c>
      <c r="J107" s="45">
        <f t="shared" si="82"/>
        <v>3.1190959968630807</v>
      </c>
      <c r="K107" s="45">
        <f t="shared" si="82"/>
        <v>3.1846549192364169</v>
      </c>
      <c r="L107" s="45">
        <f t="shared" si="82"/>
        <v>3.3228319638979946</v>
      </c>
      <c r="M107" s="45">
        <f t="shared" si="82"/>
        <v>1.9009599847923202</v>
      </c>
      <c r="N107" s="45">
        <f t="shared" si="82"/>
        <v>2.3510125361620053</v>
      </c>
      <c r="O107" s="45">
        <f t="shared" si="82"/>
        <v>2.7346064445558542</v>
      </c>
      <c r="P107" s="45">
        <f t="shared" si="82"/>
        <v>2.5484744796122043</v>
      </c>
      <c r="Q107" s="45">
        <f t="shared" si="82"/>
        <v>2.2255476311767701</v>
      </c>
      <c r="R107" s="45">
        <f t="shared" si="82"/>
        <v>2.1009101866090352</v>
      </c>
      <c r="S107" s="45">
        <f t="shared" si="82"/>
        <v>1.7372755048811386</v>
      </c>
      <c r="T107" s="45">
        <f t="shared" si="82"/>
        <v>1.9711179350983483</v>
      </c>
      <c r="U107" s="45">
        <f t="shared" si="82"/>
        <v>1.8103236665848441</v>
      </c>
      <c r="V107" s="45">
        <f t="shared" si="82"/>
        <v>2.223056554558748</v>
      </c>
      <c r="W107" s="45">
        <f t="shared" si="82"/>
        <v>2.9349124720793727</v>
      </c>
      <c r="X107" s="45">
        <f t="shared" si="82"/>
        <v>3.4770950280673616</v>
      </c>
    </row>
    <row r="108" spans="2:24" ht="30" x14ac:dyDescent="0.25">
      <c r="B108" s="47" t="s">
        <v>159</v>
      </c>
      <c r="C108" s="6"/>
      <c r="D108" s="35"/>
      <c r="E108" s="35"/>
      <c r="F108" s="35"/>
      <c r="G108" s="45">
        <f>(+G22/G18)*0.6</f>
        <v>1.3205179682794619</v>
      </c>
      <c r="H108" s="45">
        <f t="shared" ref="H108:X108" si="83">+H22/H18</f>
        <v>2.20790485264645</v>
      </c>
      <c r="I108" s="45">
        <f t="shared" si="83"/>
        <v>1.7504473995760028</v>
      </c>
      <c r="J108" s="45">
        <f t="shared" si="83"/>
        <v>2.3419242148789792</v>
      </c>
      <c r="K108" s="45">
        <f t="shared" si="83"/>
        <v>2.9992657856093978</v>
      </c>
      <c r="L108" s="45">
        <f t="shared" si="83"/>
        <v>2.8097407297032655</v>
      </c>
      <c r="M108" s="45">
        <f t="shared" si="83"/>
        <v>1.9723727148876848</v>
      </c>
      <c r="N108" s="45">
        <f t="shared" si="83"/>
        <v>2.4688910318225652</v>
      </c>
      <c r="O108" s="45">
        <f t="shared" si="83"/>
        <v>2.9809944852103367</v>
      </c>
      <c r="P108" s="45">
        <f t="shared" si="83"/>
        <v>2.8727544910179641</v>
      </c>
      <c r="Q108" s="45">
        <f t="shared" si="83"/>
        <v>2.4155947529291901</v>
      </c>
      <c r="R108" s="45">
        <f t="shared" si="83"/>
        <v>2.6251194879680813</v>
      </c>
      <c r="S108" s="45">
        <f t="shared" si="83"/>
        <v>2.9374394515239586</v>
      </c>
      <c r="T108" s="45">
        <f t="shared" si="83"/>
        <v>3.3361689766785627</v>
      </c>
      <c r="U108" s="45">
        <f t="shared" si="83"/>
        <v>2.6217694708419539</v>
      </c>
      <c r="V108" s="45">
        <f t="shared" si="83"/>
        <v>3.0023317393194482</v>
      </c>
      <c r="W108" s="45">
        <f t="shared" si="83"/>
        <v>4.0384395615812165</v>
      </c>
      <c r="X108" s="45">
        <f t="shared" si="83"/>
        <v>3.9414595028067363</v>
      </c>
    </row>
    <row r="109" spans="2:24" x14ac:dyDescent="0.25">
      <c r="B109" s="6" t="s">
        <v>82</v>
      </c>
      <c r="C109" s="6"/>
      <c r="D109" s="35"/>
      <c r="E109" s="35"/>
      <c r="F109" s="35"/>
      <c r="G109" s="45">
        <f>(+(+G37+F37+E37+D37)/+G14)*0.999</f>
        <v>0.88839683883714371</v>
      </c>
      <c r="H109" s="45">
        <f t="shared" ref="H109:X109" si="84">+(+H37+G37+F37+E37)/+H14</f>
        <v>0.86002417275935561</v>
      </c>
      <c r="I109" s="45">
        <f t="shared" si="84"/>
        <v>0.8411109376839665</v>
      </c>
      <c r="J109" s="45">
        <f t="shared" si="84"/>
        <v>0.89780518823430389</v>
      </c>
      <c r="K109" s="45">
        <f t="shared" si="84"/>
        <v>0.94993803928768128</v>
      </c>
      <c r="L109" s="45">
        <f t="shared" si="84"/>
        <v>0.93445975393073855</v>
      </c>
      <c r="M109" s="45">
        <f t="shared" si="84"/>
        <v>0.8908406791946023</v>
      </c>
      <c r="N109" s="45">
        <f t="shared" si="84"/>
        <v>0.93932014544484099</v>
      </c>
      <c r="O109" s="45">
        <f t="shared" si="84"/>
        <v>0.99094416522605244</v>
      </c>
      <c r="P109" s="45">
        <f t="shared" si="84"/>
        <v>0.81623318055478855</v>
      </c>
      <c r="Q109" s="45">
        <f t="shared" si="84"/>
        <v>0.84911956896632079</v>
      </c>
      <c r="R109" s="45">
        <f t="shared" si="84"/>
        <v>1.0812047142988168</v>
      </c>
      <c r="S109" s="45">
        <f t="shared" si="84"/>
        <v>0.92157883281443698</v>
      </c>
      <c r="T109" s="45">
        <f t="shared" si="84"/>
        <v>0.94199611457226795</v>
      </c>
      <c r="U109" s="45">
        <f t="shared" si="84"/>
        <v>0.94613775875757633</v>
      </c>
      <c r="V109" s="45">
        <f t="shared" si="84"/>
        <v>0.91302544657404394</v>
      </c>
      <c r="W109" s="45">
        <f t="shared" si="84"/>
        <v>0.90804680653641945</v>
      </c>
      <c r="X109" s="45">
        <f t="shared" si="84"/>
        <v>0.85215839013307371</v>
      </c>
    </row>
    <row r="111" spans="2:24" x14ac:dyDescent="0.25">
      <c r="B111" s="1" t="s">
        <v>157</v>
      </c>
      <c r="C111" s="1"/>
      <c r="G111" s="46">
        <f t="shared" ref="G111:J111" si="85">+G104+G105+G106+G107+G109</f>
        <v>3.3324971019120735</v>
      </c>
      <c r="H111" s="46">
        <f t="shared" si="85"/>
        <v>4.4467753120497946</v>
      </c>
      <c r="I111" s="46">
        <f t="shared" si="85"/>
        <v>3.8870464985087554</v>
      </c>
      <c r="J111" s="46">
        <f t="shared" si="85"/>
        <v>4.8142234174516449</v>
      </c>
      <c r="K111" s="46">
        <f t="shared" ref="K111:X111" si="86">+K104+K105+K106+K107+K109</f>
        <v>4.995617375634434</v>
      </c>
      <c r="L111" s="46">
        <f t="shared" ref="L111" si="87">+L104+L105+L106+L107+L109</f>
        <v>5.0999951272625061</v>
      </c>
      <c r="M111" s="46">
        <f t="shared" si="86"/>
        <v>3.5142283689870824</v>
      </c>
      <c r="N111" s="46">
        <f t="shared" si="86"/>
        <v>4.0790595944622581</v>
      </c>
      <c r="O111" s="46">
        <f t="shared" si="86"/>
        <v>4.5679607669710487</v>
      </c>
      <c r="P111" s="46">
        <f t="shared" si="86"/>
        <v>4.2016303689489982</v>
      </c>
      <c r="Q111" s="46">
        <f t="shared" si="86"/>
        <v>3.8401621338194611</v>
      </c>
      <c r="R111" s="46">
        <f t="shared" si="86"/>
        <v>4.0093986760156204</v>
      </c>
      <c r="S111" s="46">
        <f t="shared" si="86"/>
        <v>3.499144667297271</v>
      </c>
      <c r="T111" s="46">
        <f t="shared" si="86"/>
        <v>3.8013745073089265</v>
      </c>
      <c r="U111" s="46">
        <f t="shared" si="86"/>
        <v>3.5448078942334176</v>
      </c>
      <c r="V111" s="46">
        <f t="shared" si="86"/>
        <v>3.9660826923474533</v>
      </c>
      <c r="W111" s="46">
        <f t="shared" si="86"/>
        <v>4.7542330556146064</v>
      </c>
      <c r="X111" s="46">
        <f t="shared" si="86"/>
        <v>5.2554340413747296</v>
      </c>
    </row>
    <row r="112" spans="2:24" ht="30" x14ac:dyDescent="0.25">
      <c r="B112" s="47" t="s">
        <v>158</v>
      </c>
      <c r="C112" s="1"/>
      <c r="G112" s="46">
        <f t="shared" ref="G112:J112" si="88">+G104+G105+G106+G108+G109</f>
        <v>3.5028109612442027</v>
      </c>
      <c r="H112" s="46">
        <f t="shared" si="88"/>
        <v>3.871882911353274</v>
      </c>
      <c r="I112" s="46">
        <f t="shared" si="88"/>
        <v>3.3006914972698027</v>
      </c>
      <c r="J112" s="46">
        <f t="shared" si="88"/>
        <v>4.0370516354675434</v>
      </c>
      <c r="K112" s="46">
        <f t="shared" ref="K112:X112" si="89">+K104+K105+K106+K108+K109</f>
        <v>4.8102282420074154</v>
      </c>
      <c r="L112" s="46">
        <f t="shared" ref="L112" si="90">+L104+L105+L106+L108+L109</f>
        <v>4.5869038930677766</v>
      </c>
      <c r="M112" s="46">
        <f t="shared" si="89"/>
        <v>3.585641099082447</v>
      </c>
      <c r="N112" s="46">
        <f t="shared" si="89"/>
        <v>4.196938090122817</v>
      </c>
      <c r="O112" s="46">
        <f t="shared" si="89"/>
        <v>4.8143488076255316</v>
      </c>
      <c r="P112" s="46">
        <f t="shared" si="89"/>
        <v>4.525910380354758</v>
      </c>
      <c r="Q112" s="46">
        <f t="shared" si="89"/>
        <v>4.030209255571882</v>
      </c>
      <c r="R112" s="46">
        <f t="shared" si="89"/>
        <v>4.5336079773746665</v>
      </c>
      <c r="S112" s="46">
        <f t="shared" si="89"/>
        <v>4.699308613940091</v>
      </c>
      <c r="T112" s="46">
        <f t="shared" si="89"/>
        <v>5.1664255488891406</v>
      </c>
      <c r="U112" s="46">
        <f t="shared" si="89"/>
        <v>4.3562536984905273</v>
      </c>
      <c r="V112" s="46">
        <f t="shared" si="89"/>
        <v>4.7453578771081535</v>
      </c>
      <c r="W112" s="46">
        <f t="shared" si="89"/>
        <v>5.8577601451164503</v>
      </c>
      <c r="X112" s="46">
        <f t="shared" si="89"/>
        <v>5.7197985161141043</v>
      </c>
    </row>
    <row r="114" spans="2:24" x14ac:dyDescent="0.25">
      <c r="B114" s="9" t="s">
        <v>83</v>
      </c>
      <c r="C114" s="11"/>
      <c r="D114" s="11"/>
      <c r="E114" s="11"/>
      <c r="F114" s="11"/>
    </row>
    <row r="116" spans="2:24" ht="30" x14ac:dyDescent="0.25">
      <c r="B116" s="13" t="s">
        <v>84</v>
      </c>
      <c r="C116" s="13" t="s">
        <v>150</v>
      </c>
      <c r="D116" s="34"/>
      <c r="E116" s="34"/>
      <c r="F116" s="34"/>
      <c r="G116" s="4">
        <f t="shared" ref="G116:X116" si="91">(+G14-G17)/G48/1000</f>
        <v>32.378399999999999</v>
      </c>
      <c r="H116" s="4">
        <f t="shared" si="91"/>
        <v>32.653199999999998</v>
      </c>
      <c r="I116" s="4">
        <f t="shared" si="91"/>
        <v>30.745200000000001</v>
      </c>
      <c r="J116" s="4">
        <f t="shared" si="91"/>
        <v>31.198400000000003</v>
      </c>
      <c r="K116" s="4">
        <f t="shared" si="91"/>
        <v>30.465199999999999</v>
      </c>
      <c r="L116" s="4">
        <f t="shared" si="91"/>
        <v>30.2912</v>
      </c>
      <c r="M116" s="4">
        <f t="shared" si="91"/>
        <v>28.4148</v>
      </c>
      <c r="N116" s="4">
        <f t="shared" si="91"/>
        <v>28.832799999999999</v>
      </c>
      <c r="O116" s="4">
        <f t="shared" si="91"/>
        <v>29.445599999999999</v>
      </c>
      <c r="P116" s="4">
        <f t="shared" si="91"/>
        <v>36.706400000000002</v>
      </c>
      <c r="Q116" s="4">
        <f t="shared" si="91"/>
        <v>34.765999999999998</v>
      </c>
      <c r="R116" s="4">
        <f t="shared" si="91"/>
        <v>28.3812</v>
      </c>
      <c r="S116" s="4">
        <f t="shared" si="91"/>
        <v>35.773600000000002</v>
      </c>
      <c r="T116" s="4">
        <f t="shared" si="91"/>
        <v>36.324400000000004</v>
      </c>
      <c r="U116" s="4">
        <f t="shared" si="91"/>
        <v>34.031199999999998</v>
      </c>
      <c r="V116" s="4">
        <f t="shared" si="91"/>
        <v>34.46</v>
      </c>
      <c r="W116" s="4">
        <f t="shared" si="91"/>
        <v>35.196800000000003</v>
      </c>
      <c r="X116" s="4">
        <f t="shared" si="91"/>
        <v>35.535599999999995</v>
      </c>
    </row>
    <row r="117" spans="2:24" x14ac:dyDescent="0.25">
      <c r="B117" s="1" t="s">
        <v>138</v>
      </c>
      <c r="C117" s="1" t="s">
        <v>150</v>
      </c>
      <c r="D117" s="5"/>
      <c r="E117" s="5"/>
      <c r="F117" s="5"/>
      <c r="G117" s="4">
        <f t="shared" ref="G117:X117" si="92">-G16/+G48/1000</f>
        <v>-6.0683999999999996</v>
      </c>
      <c r="H117" s="4">
        <f t="shared" si="92"/>
        <v>-5.7723999999999993</v>
      </c>
      <c r="I117" s="4">
        <f t="shared" si="92"/>
        <v>-5.3140000000000001</v>
      </c>
      <c r="J117" s="4">
        <f t="shared" si="92"/>
        <v>-4.9192</v>
      </c>
      <c r="K117" s="4">
        <f t="shared" si="92"/>
        <v>-4.3212000000000002</v>
      </c>
      <c r="L117" s="4">
        <f t="shared" si="92"/>
        <v>-3.8919999999999999</v>
      </c>
      <c r="M117" s="4">
        <f t="shared" si="92"/>
        <v>-3.5131999999999999</v>
      </c>
      <c r="N117" s="4">
        <f t="shared" si="92"/>
        <v>-3.2303999999999999</v>
      </c>
      <c r="O117" s="4">
        <f t="shared" si="92"/>
        <v>-3.2831999999999999</v>
      </c>
      <c r="P117" s="4">
        <f t="shared" si="92"/>
        <v>-4.4672000000000001</v>
      </c>
      <c r="Q117" s="4">
        <f t="shared" si="92"/>
        <v>-4.4183999999999992</v>
      </c>
      <c r="R117" s="4">
        <f t="shared" si="92"/>
        <v>-3.1160000000000001</v>
      </c>
      <c r="S117" s="4">
        <f t="shared" si="92"/>
        <v>-4.2396000000000003</v>
      </c>
      <c r="T117" s="4">
        <f t="shared" si="92"/>
        <v>-4.1663999999999994</v>
      </c>
      <c r="U117" s="4">
        <f t="shared" si="92"/>
        <v>-4.1251999999999995</v>
      </c>
      <c r="V117" s="4">
        <f t="shared" si="92"/>
        <v>-4.0728</v>
      </c>
      <c r="W117" s="4">
        <f t="shared" si="92"/>
        <v>-4.0991999999999997</v>
      </c>
      <c r="X117" s="4">
        <f t="shared" si="92"/>
        <v>-4.0796000000000001</v>
      </c>
    </row>
    <row r="118" spans="2:24" x14ac:dyDescent="0.25"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2:24" x14ac:dyDescent="0.25">
      <c r="B119" s="1" t="s">
        <v>73</v>
      </c>
      <c r="C119" s="1" t="s">
        <v>150</v>
      </c>
      <c r="D119" s="5"/>
      <c r="E119" s="5"/>
      <c r="F119" s="5"/>
      <c r="G119" s="4">
        <f>+G116+G117</f>
        <v>26.31</v>
      </c>
      <c r="H119" s="4">
        <f t="shared" ref="H119:X119" si="93">+H116+H117</f>
        <v>26.880800000000001</v>
      </c>
      <c r="I119" s="4">
        <f t="shared" si="93"/>
        <v>25.4312</v>
      </c>
      <c r="J119" s="4">
        <f t="shared" si="93"/>
        <v>26.279200000000003</v>
      </c>
      <c r="K119" s="4">
        <f t="shared" si="93"/>
        <v>26.143999999999998</v>
      </c>
      <c r="L119" s="4">
        <f t="shared" si="93"/>
        <v>26.3992</v>
      </c>
      <c r="M119" s="4">
        <f t="shared" si="93"/>
        <v>24.901599999999998</v>
      </c>
      <c r="N119" s="4">
        <f t="shared" si="93"/>
        <v>25.602399999999999</v>
      </c>
      <c r="O119" s="4">
        <f t="shared" si="93"/>
        <v>26.162399999999998</v>
      </c>
      <c r="P119" s="4">
        <f t="shared" si="93"/>
        <v>32.239200000000004</v>
      </c>
      <c r="Q119" s="4">
        <f t="shared" si="93"/>
        <v>30.3476</v>
      </c>
      <c r="R119" s="4">
        <f t="shared" si="93"/>
        <v>25.2652</v>
      </c>
      <c r="S119" s="4">
        <f t="shared" si="93"/>
        <v>31.534000000000002</v>
      </c>
      <c r="T119" s="4">
        <f t="shared" si="93"/>
        <v>32.158000000000001</v>
      </c>
      <c r="U119" s="4">
        <f t="shared" si="93"/>
        <v>29.905999999999999</v>
      </c>
      <c r="V119" s="4">
        <f t="shared" si="93"/>
        <v>30.3872</v>
      </c>
      <c r="W119" s="4">
        <f t="shared" si="93"/>
        <v>31.097600000000003</v>
      </c>
      <c r="X119" s="4">
        <f t="shared" si="93"/>
        <v>31.455999999999996</v>
      </c>
    </row>
    <row r="120" spans="2:24" x14ac:dyDescent="0.25"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2:24" x14ac:dyDescent="0.25">
      <c r="B121" s="1" t="s">
        <v>85</v>
      </c>
      <c r="C121" s="1" t="s">
        <v>150</v>
      </c>
      <c r="D121" s="5"/>
      <c r="E121" s="5"/>
      <c r="F121" s="5"/>
      <c r="G121" s="4">
        <f t="shared" ref="G121:X121" si="94">+G50</f>
        <v>0</v>
      </c>
      <c r="H121" s="4">
        <f t="shared" si="94"/>
        <v>0</v>
      </c>
      <c r="I121" s="4">
        <f t="shared" si="94"/>
        <v>0</v>
      </c>
      <c r="J121" s="4">
        <f t="shared" si="94"/>
        <v>1.7</v>
      </c>
      <c r="K121" s="4">
        <f t="shared" si="94"/>
        <v>1.7</v>
      </c>
      <c r="L121" s="4">
        <f t="shared" si="94"/>
        <v>1.7</v>
      </c>
      <c r="M121" s="4">
        <f t="shared" si="94"/>
        <v>1.7</v>
      </c>
      <c r="N121" s="4">
        <f t="shared" si="94"/>
        <v>2.1</v>
      </c>
      <c r="O121" s="4">
        <f t="shared" si="94"/>
        <v>2.1</v>
      </c>
      <c r="P121" s="4">
        <f t="shared" si="94"/>
        <v>2.1</v>
      </c>
      <c r="Q121" s="4">
        <f t="shared" si="94"/>
        <v>2.1</v>
      </c>
      <c r="R121" s="4">
        <f t="shared" si="94"/>
        <v>2.5</v>
      </c>
      <c r="S121" s="4">
        <f t="shared" si="94"/>
        <v>2.5</v>
      </c>
      <c r="T121" s="4">
        <f t="shared" si="94"/>
        <v>2.5</v>
      </c>
      <c r="U121" s="4">
        <f t="shared" si="94"/>
        <v>2.5</v>
      </c>
      <c r="V121" s="4">
        <f t="shared" si="94"/>
        <v>2.9</v>
      </c>
      <c r="W121" s="4">
        <f t="shared" si="94"/>
        <v>2.9</v>
      </c>
      <c r="X121" s="4">
        <f t="shared" si="94"/>
        <v>2.9</v>
      </c>
    </row>
    <row r="122" spans="2:24" x14ac:dyDescent="0.25">
      <c r="B122" s="1" t="s">
        <v>86</v>
      </c>
      <c r="C122" s="1" t="s">
        <v>150</v>
      </c>
      <c r="D122" s="5"/>
      <c r="E122" s="5"/>
      <c r="F122" s="5"/>
      <c r="G122" s="4">
        <f t="shared" ref="G122:X122" si="95">+G124-G121-G116</f>
        <v>-18.628399999999999</v>
      </c>
      <c r="H122" s="4">
        <f t="shared" si="95"/>
        <v>1.2268000000000043</v>
      </c>
      <c r="I122" s="4">
        <f t="shared" si="95"/>
        <v>3.2048000000000023</v>
      </c>
      <c r="J122" s="4">
        <f t="shared" si="95"/>
        <v>2.1015999999999941</v>
      </c>
      <c r="K122" s="4">
        <f t="shared" si="95"/>
        <v>-4.4051999999999971</v>
      </c>
      <c r="L122" s="4">
        <f t="shared" si="95"/>
        <v>-0.77120000000000033</v>
      </c>
      <c r="M122" s="4">
        <f t="shared" si="95"/>
        <v>-6.1147999999999989</v>
      </c>
      <c r="N122" s="4">
        <f t="shared" si="95"/>
        <v>-6.5528000000000013</v>
      </c>
      <c r="O122" s="4">
        <f t="shared" si="95"/>
        <v>-7.5456000000000003</v>
      </c>
      <c r="P122" s="4">
        <f t="shared" si="95"/>
        <v>-10.206400000000002</v>
      </c>
      <c r="Q122" s="4">
        <f t="shared" si="95"/>
        <v>-8.9059999999999988</v>
      </c>
      <c r="R122" s="4">
        <f t="shared" si="95"/>
        <v>-10.661200000000001</v>
      </c>
      <c r="S122" s="4">
        <f t="shared" si="95"/>
        <v>-19.623600000000003</v>
      </c>
      <c r="T122" s="4">
        <f t="shared" si="95"/>
        <v>-19.824400000000004</v>
      </c>
      <c r="U122" s="4">
        <f t="shared" si="95"/>
        <v>-15.8812</v>
      </c>
      <c r="V122" s="4">
        <f t="shared" si="95"/>
        <v>-14.86</v>
      </c>
      <c r="W122" s="4">
        <f t="shared" si="95"/>
        <v>-15.4968</v>
      </c>
      <c r="X122" s="4">
        <f t="shared" si="95"/>
        <v>-10.685599999999994</v>
      </c>
    </row>
    <row r="123" spans="2:24" x14ac:dyDescent="0.25">
      <c r="G123" s="5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2:24" x14ac:dyDescent="0.25">
      <c r="B124" s="1" t="s">
        <v>87</v>
      </c>
      <c r="C124" s="1" t="s">
        <v>128</v>
      </c>
      <c r="D124" s="5"/>
      <c r="E124" s="5"/>
      <c r="F124" s="5"/>
      <c r="G124" s="55">
        <f t="shared" ref="G124:X124" si="96">+G54</f>
        <v>13.75</v>
      </c>
      <c r="H124" s="4">
        <f t="shared" si="96"/>
        <v>33.880000000000003</v>
      </c>
      <c r="I124" s="4">
        <f t="shared" si="96"/>
        <v>33.950000000000003</v>
      </c>
      <c r="J124" s="4">
        <f t="shared" si="96"/>
        <v>35</v>
      </c>
      <c r="K124" s="4">
        <f t="shared" si="96"/>
        <v>27.76</v>
      </c>
      <c r="L124" s="4">
        <f t="shared" si="96"/>
        <v>31.22</v>
      </c>
      <c r="M124" s="4">
        <f t="shared" si="96"/>
        <v>24</v>
      </c>
      <c r="N124" s="4">
        <f t="shared" si="96"/>
        <v>24.38</v>
      </c>
      <c r="O124" s="4">
        <f t="shared" si="96"/>
        <v>24</v>
      </c>
      <c r="P124" s="4">
        <f t="shared" si="96"/>
        <v>28.6</v>
      </c>
      <c r="Q124" s="4">
        <f t="shared" si="96"/>
        <v>27.96</v>
      </c>
      <c r="R124" s="4">
        <f t="shared" si="96"/>
        <v>20.22</v>
      </c>
      <c r="S124" s="4">
        <f t="shared" si="96"/>
        <v>18.649999999999999</v>
      </c>
      <c r="T124" s="4">
        <f t="shared" si="96"/>
        <v>19</v>
      </c>
      <c r="U124" s="4">
        <f t="shared" si="96"/>
        <v>20.65</v>
      </c>
      <c r="V124" s="4">
        <f t="shared" si="96"/>
        <v>22.5</v>
      </c>
      <c r="W124" s="4">
        <f t="shared" si="96"/>
        <v>22.6</v>
      </c>
      <c r="X124" s="4">
        <f t="shared" si="96"/>
        <v>27.75</v>
      </c>
    </row>
    <row r="126" spans="2:24" x14ac:dyDescent="0.25">
      <c r="B126" s="1" t="s">
        <v>46</v>
      </c>
      <c r="D126" s="2">
        <v>2009</v>
      </c>
      <c r="E126" s="2">
        <v>2010</v>
      </c>
      <c r="F126" s="2">
        <v>2011</v>
      </c>
      <c r="G126" s="2">
        <v>2012</v>
      </c>
      <c r="H126" s="2" t="s">
        <v>51</v>
      </c>
      <c r="I126" s="2" t="s">
        <v>53</v>
      </c>
      <c r="J126" s="2" t="s">
        <v>54</v>
      </c>
      <c r="K126" s="2" t="s">
        <v>52</v>
      </c>
    </row>
    <row r="128" spans="2:24" x14ac:dyDescent="0.25">
      <c r="C128" s="1" t="s">
        <v>47</v>
      </c>
      <c r="D128" s="3">
        <f>+H37</f>
        <v>16869</v>
      </c>
      <c r="E128" s="3">
        <f>+L37</f>
        <v>17702</v>
      </c>
      <c r="F128" s="3">
        <f>+P37</f>
        <v>19833</v>
      </c>
      <c r="G128" s="3">
        <f>+T37</f>
        <v>20879</v>
      </c>
      <c r="H128" s="3">
        <f>SUM(D128:G128)</f>
        <v>75283</v>
      </c>
      <c r="I128" s="3">
        <f>COUNT(D128:G128)</f>
        <v>4</v>
      </c>
      <c r="J128" s="3">
        <f>+H128/I128</f>
        <v>18820.75</v>
      </c>
      <c r="K128" s="20">
        <f>+J128/J133</f>
        <v>0.21120371218936507</v>
      </c>
    </row>
    <row r="129" spans="2:11" x14ac:dyDescent="0.25">
      <c r="C129" s="1" t="s">
        <v>48</v>
      </c>
      <c r="D129" s="3">
        <f>+I37</f>
        <v>22017</v>
      </c>
      <c r="E129" s="3">
        <f>+M37</f>
        <v>21971</v>
      </c>
      <c r="F129" s="3">
        <f>+Q37</f>
        <v>24375</v>
      </c>
      <c r="G129" s="3">
        <f>+U37</f>
        <v>23662</v>
      </c>
      <c r="H129" s="3">
        <f>SUM(D129:G129)</f>
        <v>92025</v>
      </c>
      <c r="I129" s="3">
        <f>COUNT(D129:G129)</f>
        <v>4</v>
      </c>
      <c r="J129" s="3">
        <f>+H129/I129</f>
        <v>23006.25</v>
      </c>
      <c r="K129" s="20">
        <f>+J129/J133</f>
        <v>0.25817278288891676</v>
      </c>
    </row>
    <row r="130" spans="2:11" x14ac:dyDescent="0.25">
      <c r="C130" s="1" t="s">
        <v>49</v>
      </c>
      <c r="D130" s="3">
        <f>+J37</f>
        <v>23538</v>
      </c>
      <c r="E130" s="3">
        <f>+N37</f>
        <v>24436</v>
      </c>
      <c r="F130" s="3">
        <f>+R37</f>
        <v>27652</v>
      </c>
      <c r="G130" s="3">
        <f>+V37</f>
        <v>22396</v>
      </c>
      <c r="H130" s="3">
        <f>SUM(D130:G130)</f>
        <v>98022</v>
      </c>
      <c r="I130" s="3">
        <f>COUNT(D130:G130)</f>
        <v>4</v>
      </c>
      <c r="J130" s="3">
        <f>+H130/I130</f>
        <v>24505.5</v>
      </c>
      <c r="K130" s="20">
        <f>+J130/J133</f>
        <v>0.27499714777872747</v>
      </c>
    </row>
    <row r="131" spans="2:11" x14ac:dyDescent="0.25">
      <c r="C131" s="1" t="s">
        <v>50</v>
      </c>
      <c r="D131" s="3">
        <f>+K37</f>
        <v>20365</v>
      </c>
      <c r="E131" s="3">
        <f>+O37</f>
        <v>22447</v>
      </c>
      <c r="F131" s="3">
        <f>+S37</f>
        <v>25526</v>
      </c>
      <c r="G131" s="3"/>
      <c r="H131" s="3">
        <f>SUM(D131:G131)</f>
        <v>68338</v>
      </c>
      <c r="I131" s="3">
        <f>COUNT(D131:G131)</f>
        <v>3</v>
      </c>
      <c r="J131" s="3">
        <f>+H131/I131</f>
        <v>22779.333333333332</v>
      </c>
      <c r="K131" s="20">
        <f>+J131/J133</f>
        <v>0.25562635714299076</v>
      </c>
    </row>
    <row r="132" spans="2:11" x14ac:dyDescent="0.25">
      <c r="K132" s="23"/>
    </row>
    <row r="133" spans="2:11" x14ac:dyDescent="0.25">
      <c r="C133" s="1" t="s">
        <v>51</v>
      </c>
      <c r="D133" s="3">
        <f>SUM(D128:D132)</f>
        <v>82789</v>
      </c>
      <c r="E133" s="3">
        <f>SUM(E128:E132)</f>
        <v>86556</v>
      </c>
      <c r="F133" s="3">
        <f>SUM(F128:F132)</f>
        <v>97386</v>
      </c>
      <c r="G133" s="3">
        <f>SUM(G128:G132)</f>
        <v>66937</v>
      </c>
      <c r="H133" s="3">
        <f>SUM(D133:G133)</f>
        <v>333668</v>
      </c>
      <c r="I133" s="21"/>
      <c r="J133" s="3">
        <f>SUM(J128:J132)</f>
        <v>89111.833333333328</v>
      </c>
      <c r="K133" s="20">
        <f>SUM(K128:K132)</f>
        <v>1</v>
      </c>
    </row>
    <row r="134" spans="2:11" x14ac:dyDescent="0.25">
      <c r="H134" s="3">
        <f>SUM(H128:H131)</f>
        <v>333668</v>
      </c>
    </row>
    <row r="136" spans="2:11" ht="30" x14ac:dyDescent="0.25">
      <c r="B136" s="13" t="s">
        <v>136</v>
      </c>
      <c r="D136" s="2">
        <v>2009</v>
      </c>
      <c r="E136" s="2">
        <v>2010</v>
      </c>
      <c r="F136" s="2">
        <v>2011</v>
      </c>
      <c r="G136" s="2">
        <v>2012</v>
      </c>
      <c r="H136" s="2" t="s">
        <v>51</v>
      </c>
      <c r="I136" s="2" t="s">
        <v>53</v>
      </c>
      <c r="J136" s="2" t="s">
        <v>54</v>
      </c>
      <c r="K136" s="2" t="s">
        <v>52</v>
      </c>
    </row>
    <row r="138" spans="2:11" x14ac:dyDescent="0.25">
      <c r="C138" s="1" t="s">
        <v>47</v>
      </c>
      <c r="D138" s="3">
        <f>+H38</f>
        <v>14731</v>
      </c>
      <c r="E138" s="3">
        <f>+L38</f>
        <v>17073</v>
      </c>
      <c r="F138" s="3">
        <f>+P38</f>
        <v>18587</v>
      </c>
      <c r="G138" s="3">
        <f>+T38</f>
        <v>19048</v>
      </c>
      <c r="H138" s="3">
        <f>SUM(D138:G138)</f>
        <v>69439</v>
      </c>
      <c r="I138" s="3">
        <f>COUNT(D138:G138)</f>
        <v>4</v>
      </c>
      <c r="J138" s="3">
        <f>+H138/I138</f>
        <v>17359.75</v>
      </c>
      <c r="K138" s="20">
        <f>+J138/J143</f>
        <v>0.2119258859111815</v>
      </c>
    </row>
    <row r="139" spans="2:11" x14ac:dyDescent="0.25">
      <c r="C139" s="1" t="s">
        <v>48</v>
      </c>
      <c r="D139" s="3">
        <f>+I38</f>
        <v>19900</v>
      </c>
      <c r="E139" s="3">
        <f>+M38</f>
        <v>19978</v>
      </c>
      <c r="F139" s="3">
        <f>+Q38</f>
        <v>22413</v>
      </c>
      <c r="G139" s="3">
        <f>+U38</f>
        <v>21600</v>
      </c>
      <c r="H139" s="3">
        <f>SUM(D139:G139)</f>
        <v>83891</v>
      </c>
      <c r="I139" s="3">
        <f>COUNT(D139:G139)</f>
        <v>4</v>
      </c>
      <c r="J139" s="3">
        <f>+H139/I139</f>
        <v>20972.75</v>
      </c>
      <c r="K139" s="20">
        <f>+J139/J143</f>
        <v>0.25603298571371891</v>
      </c>
    </row>
    <row r="140" spans="2:11" x14ac:dyDescent="0.25">
      <c r="C140" s="1" t="s">
        <v>49</v>
      </c>
      <c r="D140" s="3">
        <f>+J38</f>
        <v>20647</v>
      </c>
      <c r="E140" s="3">
        <f>+N38</f>
        <v>22101</v>
      </c>
      <c r="F140" s="3">
        <f>+R38</f>
        <v>25155</v>
      </c>
      <c r="G140" s="3">
        <f>+V38</f>
        <v>20844</v>
      </c>
      <c r="H140" s="3">
        <f>SUM(D140:G140)</f>
        <v>88747</v>
      </c>
      <c r="I140" s="3">
        <f>COUNT(D140:G140)</f>
        <v>4</v>
      </c>
      <c r="J140" s="3">
        <f>+H140/I140</f>
        <v>22186.75</v>
      </c>
      <c r="K140" s="20">
        <f>+J140/J143</f>
        <v>0.27085336189979153</v>
      </c>
    </row>
    <row r="141" spans="2:11" x14ac:dyDescent="0.25">
      <c r="C141" s="1" t="s">
        <v>50</v>
      </c>
      <c r="D141" s="3">
        <f>+K38</f>
        <v>19358</v>
      </c>
      <c r="E141" s="3">
        <f>+O38</f>
        <v>20789</v>
      </c>
      <c r="F141" s="3">
        <f>+S38</f>
        <v>24038</v>
      </c>
      <c r="G141" s="3"/>
      <c r="H141" s="3">
        <f>SUM(D141:G141)</f>
        <v>64185</v>
      </c>
      <c r="I141" s="3">
        <f>COUNT(D141:G141)</f>
        <v>3</v>
      </c>
      <c r="J141" s="3">
        <f>+H141/I141</f>
        <v>21395</v>
      </c>
      <c r="K141" s="20">
        <f>+J141/J143</f>
        <v>0.261187766475308</v>
      </c>
    </row>
    <row r="142" spans="2:11" x14ac:dyDescent="0.25">
      <c r="K142" s="23"/>
    </row>
    <row r="143" spans="2:11" x14ac:dyDescent="0.25">
      <c r="C143" s="1" t="s">
        <v>51</v>
      </c>
      <c r="D143" s="3">
        <f>SUM(D138:D142)</f>
        <v>74636</v>
      </c>
      <c r="E143" s="3">
        <f>SUM(E138:E142)</f>
        <v>79941</v>
      </c>
      <c r="F143" s="3">
        <f>SUM(F138:F142)</f>
        <v>90193</v>
      </c>
      <c r="G143" s="3">
        <f>SUM(G138:G142)</f>
        <v>61492</v>
      </c>
      <c r="H143" s="3">
        <f>SUM(D143:G143)</f>
        <v>306262</v>
      </c>
      <c r="I143" s="21"/>
      <c r="J143" s="3">
        <f>SUM(J138:J142)</f>
        <v>81914.25</v>
      </c>
      <c r="K143" s="20">
        <f>SUM(K138:K142)</f>
        <v>1</v>
      </c>
    </row>
    <row r="144" spans="2:11" x14ac:dyDescent="0.25">
      <c r="H144" s="3">
        <f>SUM(H138:H141)</f>
        <v>306262</v>
      </c>
    </row>
    <row r="146" spans="2:11" x14ac:dyDescent="0.25">
      <c r="B146" s="1" t="s">
        <v>143</v>
      </c>
      <c r="D146" s="2">
        <v>2009</v>
      </c>
      <c r="E146" s="2">
        <v>2010</v>
      </c>
      <c r="F146" s="2">
        <v>2011</v>
      </c>
      <c r="G146" s="2">
        <v>2012</v>
      </c>
      <c r="H146" s="2" t="s">
        <v>51</v>
      </c>
      <c r="I146" s="2" t="s">
        <v>53</v>
      </c>
      <c r="J146" s="2" t="s">
        <v>54</v>
      </c>
      <c r="K146" s="2" t="s">
        <v>52</v>
      </c>
    </row>
    <row r="148" spans="2:11" x14ac:dyDescent="0.25">
      <c r="C148" s="1" t="s">
        <v>47</v>
      </c>
      <c r="D148" s="3">
        <f>+H40</f>
        <v>-734</v>
      </c>
      <c r="E148" s="3">
        <f>+L40</f>
        <v>148</v>
      </c>
      <c r="F148" s="3">
        <f>+P40</f>
        <v>-174</v>
      </c>
      <c r="G148" s="3">
        <f>+T40</f>
        <v>-15</v>
      </c>
      <c r="H148" s="3">
        <f>SUM(D148:G148)</f>
        <v>-775</v>
      </c>
      <c r="I148" s="3">
        <f>COUNT(D148:G148)</f>
        <v>4</v>
      </c>
      <c r="J148" s="3">
        <f>+H148/I148</f>
        <v>-193.75</v>
      </c>
      <c r="K148" s="20">
        <f>+J148/J153</f>
        <v>0.40703781512605042</v>
      </c>
    </row>
    <row r="149" spans="2:11" x14ac:dyDescent="0.25">
      <c r="C149" s="1" t="s">
        <v>48</v>
      </c>
      <c r="D149" s="3">
        <f>+I40</f>
        <v>-183</v>
      </c>
      <c r="E149" s="3">
        <f>+M40</f>
        <v>-176</v>
      </c>
      <c r="F149" s="3">
        <f>+Q40</f>
        <v>-191</v>
      </c>
      <c r="G149" s="3">
        <f>+U40</f>
        <v>-181</v>
      </c>
      <c r="H149" s="3">
        <f>SUM(D149:G149)</f>
        <v>-731</v>
      </c>
      <c r="I149" s="3">
        <f>COUNT(D149:G149)</f>
        <v>4</v>
      </c>
      <c r="J149" s="3">
        <f>+H149/I149</f>
        <v>-182.75</v>
      </c>
      <c r="K149" s="20">
        <f>+J149/J153</f>
        <v>0.38392857142857145</v>
      </c>
    </row>
    <row r="150" spans="2:11" x14ac:dyDescent="0.25">
      <c r="C150" s="1" t="s">
        <v>49</v>
      </c>
      <c r="D150" s="3">
        <f>+J40</f>
        <v>-66</v>
      </c>
      <c r="E150" s="3">
        <f>+N40</f>
        <v>-169</v>
      </c>
      <c r="F150" s="3">
        <f>+R40</f>
        <v>-403</v>
      </c>
      <c r="G150" s="3">
        <f>+V40</f>
        <v>-44</v>
      </c>
      <c r="H150" s="3">
        <f>SUM(D150:G150)</f>
        <v>-682</v>
      </c>
      <c r="I150" s="3">
        <f>COUNT(D150:G150)</f>
        <v>4</v>
      </c>
      <c r="J150" s="3">
        <f>+H150/I150</f>
        <v>-170.5</v>
      </c>
      <c r="K150" s="20">
        <f>+J150/J153</f>
        <v>0.35819327731092437</v>
      </c>
    </row>
    <row r="151" spans="2:11" x14ac:dyDescent="0.25">
      <c r="C151" s="1" t="s">
        <v>50</v>
      </c>
      <c r="D151" s="3">
        <f>+K40</f>
        <v>112</v>
      </c>
      <c r="E151" s="3">
        <f>+O40</f>
        <v>2</v>
      </c>
      <c r="F151" s="3">
        <f>+S40</f>
        <v>99</v>
      </c>
      <c r="G151" s="3"/>
      <c r="H151" s="3">
        <f>SUM(D151:G151)</f>
        <v>213</v>
      </c>
      <c r="I151" s="3">
        <f>COUNT(D151:G151)</f>
        <v>3</v>
      </c>
      <c r="J151" s="3">
        <f>+H151/I151</f>
        <v>71</v>
      </c>
      <c r="K151" s="20">
        <f>+J151/J153</f>
        <v>-0.14915966386554622</v>
      </c>
    </row>
    <row r="152" spans="2:11" x14ac:dyDescent="0.25">
      <c r="K152" s="23"/>
    </row>
    <row r="153" spans="2:11" x14ac:dyDescent="0.25">
      <c r="C153" s="1" t="s">
        <v>51</v>
      </c>
      <c r="D153" s="3">
        <f>SUM(D148:D152)</f>
        <v>-871</v>
      </c>
      <c r="E153" s="3">
        <f>SUM(E148:E152)</f>
        <v>-195</v>
      </c>
      <c r="F153" s="3">
        <f>SUM(F148:F152)</f>
        <v>-669</v>
      </c>
      <c r="G153" s="3">
        <f>SUM(G148:G152)</f>
        <v>-240</v>
      </c>
      <c r="H153" s="3">
        <f>SUM(D153:G153)</f>
        <v>-1975</v>
      </c>
      <c r="I153" s="21"/>
      <c r="J153" s="3">
        <f>SUM(J148:J152)</f>
        <v>-476</v>
      </c>
      <c r="K153" s="20">
        <f>SUM(K148:K152)</f>
        <v>1.0000000000000002</v>
      </c>
    </row>
    <row r="154" spans="2:11" x14ac:dyDescent="0.25">
      <c r="H154" s="3">
        <f>SUM(H148:H151)</f>
        <v>-1975</v>
      </c>
    </row>
    <row r="156" spans="2:11" x14ac:dyDescent="0.25">
      <c r="B156" s="1" t="s">
        <v>144</v>
      </c>
      <c r="D156" s="2">
        <v>2009</v>
      </c>
      <c r="E156" s="2">
        <v>2010</v>
      </c>
      <c r="F156" s="2">
        <v>2011</v>
      </c>
      <c r="G156" s="2">
        <v>2012</v>
      </c>
      <c r="H156" s="2" t="s">
        <v>51</v>
      </c>
      <c r="I156" s="2" t="s">
        <v>53</v>
      </c>
      <c r="J156" s="2" t="s">
        <v>54</v>
      </c>
      <c r="K156" s="2" t="s">
        <v>52</v>
      </c>
    </row>
    <row r="158" spans="2:11" x14ac:dyDescent="0.25">
      <c r="C158" s="1" t="s">
        <v>47</v>
      </c>
      <c r="D158" s="3">
        <f>+H42</f>
        <v>360</v>
      </c>
      <c r="E158" s="3">
        <f>+L42</f>
        <v>139</v>
      </c>
      <c r="F158" s="3">
        <f>+P42</f>
        <v>222</v>
      </c>
      <c r="G158" s="3">
        <f>+T42</f>
        <v>256</v>
      </c>
      <c r="H158" s="3">
        <f>SUM(D158:G158)</f>
        <v>977</v>
      </c>
      <c r="I158" s="3">
        <f>COUNT(D158:G158)</f>
        <v>4</v>
      </c>
      <c r="J158" s="3">
        <f>+H158/I158</f>
        <v>244.25</v>
      </c>
      <c r="K158" s="20">
        <f>+J158/J163</f>
        <v>0.19011480832846858</v>
      </c>
    </row>
    <row r="159" spans="2:11" x14ac:dyDescent="0.25">
      <c r="C159" s="1" t="s">
        <v>48</v>
      </c>
      <c r="D159" s="3">
        <f>+I42</f>
        <v>375</v>
      </c>
      <c r="E159" s="3">
        <f>+M42</f>
        <v>373</v>
      </c>
      <c r="F159" s="3">
        <f>+Q42</f>
        <v>354</v>
      </c>
      <c r="G159" s="3">
        <f>+U42</f>
        <v>382</v>
      </c>
      <c r="H159" s="3">
        <f>SUM(D159:G159)</f>
        <v>1484</v>
      </c>
      <c r="I159" s="3">
        <f>COUNT(D159:G159)</f>
        <v>4</v>
      </c>
      <c r="J159" s="3">
        <f>+H159/I159</f>
        <v>371</v>
      </c>
      <c r="K159" s="20">
        <f>+J159/J163</f>
        <v>0.28877213465654794</v>
      </c>
    </row>
    <row r="160" spans="2:11" x14ac:dyDescent="0.25">
      <c r="C160" s="1" t="s">
        <v>49</v>
      </c>
      <c r="D160" s="3">
        <f>+J42</f>
        <v>506</v>
      </c>
      <c r="E160" s="3">
        <f>+N42</f>
        <v>413</v>
      </c>
      <c r="F160" s="3">
        <f>+R42</f>
        <v>458</v>
      </c>
      <c r="G160" s="3">
        <f>+V42</f>
        <v>305</v>
      </c>
      <c r="H160" s="3">
        <f>SUM(D160:G160)</f>
        <v>1682</v>
      </c>
      <c r="I160" s="3">
        <f>COUNT(D160:G160)</f>
        <v>4</v>
      </c>
      <c r="J160" s="3">
        <f>+H160/I160</f>
        <v>420.5</v>
      </c>
      <c r="K160" s="20">
        <f>+J160/J163</f>
        <v>0.32730103132905236</v>
      </c>
    </row>
    <row r="161" spans="2:11" x14ac:dyDescent="0.25">
      <c r="C161" s="1" t="s">
        <v>50</v>
      </c>
      <c r="D161" s="3">
        <f>+K42</f>
        <v>204</v>
      </c>
      <c r="E161" s="3">
        <f>+O42</f>
        <v>286</v>
      </c>
      <c r="F161" s="3">
        <f>+S42</f>
        <v>257</v>
      </c>
      <c r="G161" s="3"/>
      <c r="H161" s="3">
        <f>SUM(D161:G161)</f>
        <v>747</v>
      </c>
      <c r="I161" s="3">
        <f>COUNT(D161:G161)</f>
        <v>3</v>
      </c>
      <c r="J161" s="3">
        <f>+H161/I161</f>
        <v>249</v>
      </c>
      <c r="K161" s="20">
        <f>+J161/J163</f>
        <v>0.19381202568593112</v>
      </c>
    </row>
    <row r="162" spans="2:11" x14ac:dyDescent="0.25">
      <c r="K162" s="23"/>
    </row>
    <row r="163" spans="2:11" x14ac:dyDescent="0.25">
      <c r="C163" s="1" t="s">
        <v>51</v>
      </c>
      <c r="D163" s="3">
        <f>SUM(D158:D162)</f>
        <v>1445</v>
      </c>
      <c r="E163" s="3">
        <f>SUM(E158:E162)</f>
        <v>1211</v>
      </c>
      <c r="F163" s="3">
        <f>SUM(F158:F162)</f>
        <v>1291</v>
      </c>
      <c r="G163" s="3">
        <f>SUM(G158:G162)</f>
        <v>943</v>
      </c>
      <c r="H163" s="3">
        <f>SUM(D163:G163)</f>
        <v>4890</v>
      </c>
      <c r="I163" s="21"/>
      <c r="J163" s="3">
        <f>SUM(J158:J162)</f>
        <v>1284.75</v>
      </c>
      <c r="K163" s="20">
        <f>SUM(K158:K162)</f>
        <v>1</v>
      </c>
    </row>
    <row r="164" spans="2:11" x14ac:dyDescent="0.25">
      <c r="H164" s="3">
        <f>SUM(H158:H161)</f>
        <v>4890</v>
      </c>
    </row>
    <row r="166" spans="2:11" x14ac:dyDescent="0.25">
      <c r="B166" s="1" t="s">
        <v>165</v>
      </c>
      <c r="D166" s="2">
        <v>2009</v>
      </c>
      <c r="E166" s="2">
        <v>2010</v>
      </c>
      <c r="F166" s="2">
        <v>2011</v>
      </c>
      <c r="G166" s="2">
        <v>2012</v>
      </c>
      <c r="H166" s="2" t="s">
        <v>51</v>
      </c>
      <c r="I166" s="2" t="s">
        <v>53</v>
      </c>
      <c r="J166" s="2" t="s">
        <v>54</v>
      </c>
      <c r="K166" s="2" t="s">
        <v>52</v>
      </c>
    </row>
    <row r="168" spans="2:11" x14ac:dyDescent="0.25">
      <c r="C168" s="1" t="s">
        <v>47</v>
      </c>
      <c r="D168" s="3">
        <f>+H44</f>
        <v>1044</v>
      </c>
      <c r="E168" s="3">
        <f>+L44</f>
        <v>638</v>
      </c>
      <c r="F168" s="3">
        <f>+P44</f>
        <v>850</v>
      </c>
      <c r="G168" s="3">
        <f>+T44</f>
        <v>1560</v>
      </c>
      <c r="H168" s="3">
        <f>SUM(D168:G168)</f>
        <v>4092</v>
      </c>
      <c r="I168" s="3">
        <f>COUNT(D168:G168)</f>
        <v>4</v>
      </c>
      <c r="J168" s="3">
        <f>+H168/I168</f>
        <v>1023</v>
      </c>
      <c r="K168" s="20">
        <f>+J168/J173</f>
        <v>0.18816100058244689</v>
      </c>
    </row>
    <row r="169" spans="2:11" x14ac:dyDescent="0.25">
      <c r="C169" s="1" t="s">
        <v>48</v>
      </c>
      <c r="D169" s="3">
        <f>+I44</f>
        <v>1559</v>
      </c>
      <c r="E169" s="3">
        <f>+M44</f>
        <v>1444</v>
      </c>
      <c r="F169" s="3">
        <f>+Q44</f>
        <v>1417</v>
      </c>
      <c r="G169" s="3">
        <f>+U44</f>
        <v>1499</v>
      </c>
      <c r="H169" s="3">
        <f>SUM(D169:G169)</f>
        <v>5919</v>
      </c>
      <c r="I169" s="3">
        <f>COUNT(D169:G169)</f>
        <v>4</v>
      </c>
      <c r="J169" s="3">
        <f>+H169/I169</f>
        <v>1479.75</v>
      </c>
      <c r="K169" s="20">
        <f>+J169/J173</f>
        <v>0.27217130069587075</v>
      </c>
    </row>
    <row r="170" spans="2:11" x14ac:dyDescent="0.25">
      <c r="C170" s="1" t="s">
        <v>49</v>
      </c>
      <c r="D170" s="3">
        <f>+J44</f>
        <v>2319</v>
      </c>
      <c r="E170" s="3">
        <f>+N44</f>
        <v>1753</v>
      </c>
      <c r="F170" s="3">
        <f>+R44</f>
        <v>1636</v>
      </c>
      <c r="G170" s="3">
        <f>+V43</f>
        <v>1203</v>
      </c>
      <c r="H170" s="3">
        <f>SUM(D170:G170)</f>
        <v>6911</v>
      </c>
      <c r="I170" s="3">
        <f>COUNT(D170:G170)</f>
        <v>4</v>
      </c>
      <c r="J170" s="3">
        <f>+H170/I170</f>
        <v>1727.75</v>
      </c>
      <c r="K170" s="20">
        <f>+J170/J173</f>
        <v>0.3177860887158579</v>
      </c>
    </row>
    <row r="171" spans="2:11" x14ac:dyDescent="0.25">
      <c r="C171" s="1" t="s">
        <v>50</v>
      </c>
      <c r="D171" s="3">
        <f>+K44</f>
        <v>915</v>
      </c>
      <c r="E171" s="3">
        <f>+O44</f>
        <v>1374</v>
      </c>
      <c r="F171" s="3">
        <f>+S44</f>
        <v>1330</v>
      </c>
      <c r="G171" s="3"/>
      <c r="H171" s="3">
        <f>SUM(D171:G171)</f>
        <v>3619</v>
      </c>
      <c r="I171" s="3">
        <f>COUNT(D171:G171)</f>
        <v>3</v>
      </c>
      <c r="J171" s="3">
        <f>+H171/I171</f>
        <v>1206.3333333333333</v>
      </c>
      <c r="K171" s="20">
        <f>+J171/J173</f>
        <v>0.22188161000582446</v>
      </c>
    </row>
    <row r="172" spans="2:11" x14ac:dyDescent="0.25">
      <c r="K172" s="23"/>
    </row>
    <row r="173" spans="2:11" x14ac:dyDescent="0.25">
      <c r="C173" s="1" t="s">
        <v>51</v>
      </c>
      <c r="D173" s="3">
        <f>SUM(D168:D172)</f>
        <v>5837</v>
      </c>
      <c r="E173" s="3">
        <f>SUM(E168:E172)</f>
        <v>5209</v>
      </c>
      <c r="F173" s="3">
        <f>SUM(F168:F172)</f>
        <v>5233</v>
      </c>
      <c r="G173" s="3">
        <f>SUM(G168:G172)</f>
        <v>4262</v>
      </c>
      <c r="H173" s="3">
        <f>SUM(D173:G173)</f>
        <v>20541</v>
      </c>
      <c r="I173" s="21"/>
      <c r="J173" s="3">
        <f>SUM(J168:J172)</f>
        <v>5436.833333333333</v>
      </c>
      <c r="K173" s="20">
        <f>SUM(K168:K172)</f>
        <v>1</v>
      </c>
    </row>
    <row r="174" spans="2:11" x14ac:dyDescent="0.25">
      <c r="H174" s="3">
        <f>SUM(H168:H171)</f>
        <v>20541</v>
      </c>
    </row>
    <row r="176" spans="2:11" x14ac:dyDescent="0.25">
      <c r="B176" s="26" t="s">
        <v>89</v>
      </c>
      <c r="C176" s="26" t="s">
        <v>103</v>
      </c>
      <c r="D176" s="26" t="s">
        <v>104</v>
      </c>
      <c r="E176" s="26" t="s">
        <v>121</v>
      </c>
      <c r="F176" s="26" t="s">
        <v>105</v>
      </c>
      <c r="G176" s="26" t="s">
        <v>106</v>
      </c>
      <c r="H176" s="26" t="s">
        <v>107</v>
      </c>
    </row>
    <row r="178" spans="2:8" x14ac:dyDescent="0.25">
      <c r="B178" s="1" t="s">
        <v>90</v>
      </c>
      <c r="C178" s="1">
        <v>31</v>
      </c>
      <c r="D178" s="1">
        <f>+C178</f>
        <v>31</v>
      </c>
      <c r="E178" s="1">
        <f>+C178</f>
        <v>31</v>
      </c>
      <c r="F178" s="1"/>
      <c r="G178" s="1"/>
      <c r="H178" s="1"/>
    </row>
    <row r="179" spans="2:8" x14ac:dyDescent="0.25">
      <c r="B179" s="1" t="s">
        <v>91</v>
      </c>
      <c r="C179" s="1">
        <v>28</v>
      </c>
      <c r="D179" s="1">
        <f>+C179</f>
        <v>28</v>
      </c>
      <c r="E179" s="1"/>
      <c r="F179" s="1"/>
      <c r="G179" s="1"/>
      <c r="H179" s="1"/>
    </row>
    <row r="180" spans="2:8" x14ac:dyDescent="0.25">
      <c r="B180" s="1" t="s">
        <v>92</v>
      </c>
      <c r="C180" s="1">
        <v>29</v>
      </c>
      <c r="D180" s="1"/>
      <c r="E180" s="1">
        <f>+C180</f>
        <v>29</v>
      </c>
      <c r="F180" s="1"/>
      <c r="G180" s="1"/>
      <c r="H180" s="1"/>
    </row>
    <row r="181" spans="2:8" x14ac:dyDescent="0.25">
      <c r="B181" s="1" t="s">
        <v>93</v>
      </c>
      <c r="C181" s="1">
        <v>31</v>
      </c>
      <c r="D181" s="1">
        <f>+C181</f>
        <v>31</v>
      </c>
      <c r="E181" s="1">
        <f>+C181</f>
        <v>31</v>
      </c>
      <c r="F181" s="1"/>
      <c r="G181" s="1"/>
      <c r="H181" s="1"/>
    </row>
    <row r="182" spans="2:8" x14ac:dyDescent="0.25">
      <c r="B182" s="1" t="s">
        <v>94</v>
      </c>
      <c r="C182" s="1">
        <v>30</v>
      </c>
      <c r="D182" s="1"/>
      <c r="E182" s="1"/>
      <c r="F182" s="1">
        <f>+C182</f>
        <v>30</v>
      </c>
      <c r="G182" s="1"/>
      <c r="H182" s="1"/>
    </row>
    <row r="183" spans="2:8" x14ac:dyDescent="0.25">
      <c r="B183" s="1" t="s">
        <v>95</v>
      </c>
      <c r="C183" s="1">
        <v>31</v>
      </c>
      <c r="D183" s="1"/>
      <c r="E183" s="1"/>
      <c r="F183" s="1">
        <f>+C183</f>
        <v>31</v>
      </c>
      <c r="G183" s="1"/>
      <c r="H183" s="1"/>
    </row>
    <row r="184" spans="2:8" x14ac:dyDescent="0.25">
      <c r="B184" s="1" t="s">
        <v>96</v>
      </c>
      <c r="C184" s="1">
        <v>30</v>
      </c>
      <c r="D184" s="1"/>
      <c r="E184" s="1"/>
      <c r="F184" s="1">
        <f>+C184</f>
        <v>30</v>
      </c>
      <c r="G184" s="1"/>
      <c r="H184" s="1"/>
    </row>
    <row r="185" spans="2:8" x14ac:dyDescent="0.25">
      <c r="B185" s="1" t="s">
        <v>97</v>
      </c>
      <c r="C185" s="1">
        <v>31</v>
      </c>
      <c r="D185" s="1"/>
      <c r="E185" s="1"/>
      <c r="F185" s="1"/>
      <c r="G185" s="1">
        <f>+C185</f>
        <v>31</v>
      </c>
      <c r="H185" s="1"/>
    </row>
    <row r="186" spans="2:8" x14ac:dyDescent="0.25">
      <c r="B186" s="1" t="s">
        <v>98</v>
      </c>
      <c r="C186" s="1">
        <v>31</v>
      </c>
      <c r="D186" s="1"/>
      <c r="E186" s="1"/>
      <c r="F186" s="1"/>
      <c r="G186" s="1">
        <f>+C186</f>
        <v>31</v>
      </c>
      <c r="H186" s="1"/>
    </row>
    <row r="187" spans="2:8" x14ac:dyDescent="0.25">
      <c r="B187" s="1" t="s">
        <v>99</v>
      </c>
      <c r="C187" s="1">
        <v>30</v>
      </c>
      <c r="D187" s="1"/>
      <c r="E187" s="1"/>
      <c r="F187" s="1"/>
      <c r="G187" s="1">
        <f>+C187</f>
        <v>30</v>
      </c>
      <c r="H187" s="1"/>
    </row>
    <row r="188" spans="2:8" x14ac:dyDescent="0.25">
      <c r="B188" s="1" t="s">
        <v>100</v>
      </c>
      <c r="C188" s="1">
        <v>31</v>
      </c>
      <c r="D188" s="1"/>
      <c r="E188" s="1"/>
      <c r="F188" s="1"/>
      <c r="G188" s="1"/>
      <c r="H188" s="1">
        <f>+C188</f>
        <v>31</v>
      </c>
    </row>
    <row r="189" spans="2:8" x14ac:dyDescent="0.25">
      <c r="B189" s="1" t="s">
        <v>101</v>
      </c>
      <c r="C189" s="1">
        <v>30</v>
      </c>
      <c r="D189" s="1"/>
      <c r="E189" s="1"/>
      <c r="F189" s="1"/>
      <c r="G189" s="1"/>
      <c r="H189" s="1">
        <f>+C189</f>
        <v>30</v>
      </c>
    </row>
    <row r="190" spans="2:8" x14ac:dyDescent="0.25">
      <c r="B190" s="1" t="s">
        <v>102</v>
      </c>
      <c r="C190" s="1">
        <v>31</v>
      </c>
      <c r="D190" s="1"/>
      <c r="E190" s="1"/>
      <c r="F190" s="1"/>
      <c r="G190" s="1"/>
      <c r="H190" s="1">
        <f>+C190</f>
        <v>31</v>
      </c>
    </row>
    <row r="192" spans="2:8" x14ac:dyDescent="0.25">
      <c r="D192" s="1">
        <f>SUM(D178:D190)</f>
        <v>90</v>
      </c>
      <c r="E192" s="1">
        <f t="shared" ref="E192:H192" si="97">SUM(E178:E190)</f>
        <v>91</v>
      </c>
      <c r="F192" s="1">
        <f t="shared" si="97"/>
        <v>91</v>
      </c>
      <c r="G192" s="1">
        <f t="shared" si="97"/>
        <v>92</v>
      </c>
      <c r="H192" s="1">
        <f t="shared" si="97"/>
        <v>92</v>
      </c>
    </row>
    <row r="194" spans="3:9" ht="30" x14ac:dyDescent="0.25">
      <c r="C194" s="31" t="s">
        <v>108</v>
      </c>
      <c r="D194" s="31" t="s">
        <v>112</v>
      </c>
      <c r="E194" s="31" t="s">
        <v>109</v>
      </c>
      <c r="F194" s="31" t="s">
        <v>110</v>
      </c>
      <c r="G194" s="31" t="s">
        <v>111</v>
      </c>
      <c r="H194" s="31" t="s">
        <v>113</v>
      </c>
    </row>
    <row r="196" spans="3:9" x14ac:dyDescent="0.25">
      <c r="C196" s="1">
        <f>+D192+F192</f>
        <v>181</v>
      </c>
      <c r="D196" s="1">
        <f>+E192+F192</f>
        <v>182</v>
      </c>
      <c r="E196" s="1">
        <f>+F192+G192</f>
        <v>183</v>
      </c>
      <c r="F196" s="1">
        <f>+G192+H192</f>
        <v>184</v>
      </c>
      <c r="G196" s="1">
        <f>+H192+D192</f>
        <v>182</v>
      </c>
      <c r="H196" s="1">
        <f>+H192+E192</f>
        <v>183</v>
      </c>
    </row>
    <row r="198" spans="3:9" ht="30" x14ac:dyDescent="0.25">
      <c r="C198" s="31" t="s">
        <v>114</v>
      </c>
      <c r="D198" s="31" t="s">
        <v>115</v>
      </c>
      <c r="E198" s="31" t="s">
        <v>116</v>
      </c>
      <c r="F198" s="31" t="s">
        <v>117</v>
      </c>
      <c r="G198" s="31" t="s">
        <v>120</v>
      </c>
      <c r="H198" s="31" t="s">
        <v>118</v>
      </c>
      <c r="I198" s="29"/>
    </row>
    <row r="200" spans="3:9" x14ac:dyDescent="0.25">
      <c r="C200" s="1">
        <f>+D192+F192+G192</f>
        <v>273</v>
      </c>
      <c r="D200" s="1">
        <f>+E192+F192+G192</f>
        <v>274</v>
      </c>
      <c r="E200" s="1">
        <f>+F192+G192+H192</f>
        <v>275</v>
      </c>
      <c r="F200" s="1">
        <f>+G192+H192+D192</f>
        <v>274</v>
      </c>
      <c r="G200" s="1">
        <f>+G192+H192+E192</f>
        <v>275</v>
      </c>
      <c r="H200" s="1">
        <f>+H192+D192+F192</f>
        <v>273</v>
      </c>
    </row>
    <row r="202" spans="3:9" ht="45" x14ac:dyDescent="0.25">
      <c r="C202" s="31" t="s">
        <v>119</v>
      </c>
      <c r="D202" s="12" t="s">
        <v>122</v>
      </c>
      <c r="E202" s="12" t="s">
        <v>123</v>
      </c>
      <c r="F202" s="30"/>
    </row>
    <row r="204" spans="3:9" x14ac:dyDescent="0.25">
      <c r="C204" s="1">
        <f>+H192+E192+F192</f>
        <v>274</v>
      </c>
      <c r="D204" s="1">
        <f>+D192+F192+G192+H192</f>
        <v>365</v>
      </c>
      <c r="E204" s="1">
        <f>+E192+F192+G192+H192</f>
        <v>366</v>
      </c>
    </row>
  </sheetData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"/>
  <sheetViews>
    <sheetView topLeftCell="A7" workbookViewId="0">
      <selection activeCell="I23" sqref="I23"/>
    </sheetView>
  </sheetViews>
  <sheetFormatPr defaultRowHeight="15" x14ac:dyDescent="0.25"/>
  <cols>
    <col min="1" max="1" width="4.28515625" customWidth="1"/>
    <col min="2" max="2" width="35" customWidth="1"/>
    <col min="20" max="20" width="13" customWidth="1"/>
  </cols>
  <sheetData>
    <row r="2" spans="2:20" x14ac:dyDescent="0.25">
      <c r="B2" s="1" t="s">
        <v>57</v>
      </c>
      <c r="C2" s="44" t="s">
        <v>134</v>
      </c>
      <c r="D2" s="44" t="s">
        <v>21</v>
      </c>
      <c r="E2" s="44" t="s">
        <v>25</v>
      </c>
      <c r="F2" s="44" t="s">
        <v>26</v>
      </c>
      <c r="G2" s="44" t="s">
        <v>27</v>
      </c>
      <c r="H2" s="44" t="s">
        <v>28</v>
      </c>
      <c r="I2" s="44" t="s">
        <v>29</v>
      </c>
      <c r="J2" s="44" t="s">
        <v>30</v>
      </c>
      <c r="K2" s="44" t="s">
        <v>31</v>
      </c>
      <c r="L2" s="44" t="s">
        <v>32</v>
      </c>
      <c r="M2" s="44" t="s">
        <v>33</v>
      </c>
      <c r="N2" s="44" t="s">
        <v>34</v>
      </c>
      <c r="O2" s="44" t="s">
        <v>35</v>
      </c>
      <c r="P2" s="44" t="s">
        <v>36</v>
      </c>
      <c r="Q2" s="44" t="s">
        <v>37</v>
      </c>
      <c r="R2" s="44" t="s">
        <v>38</v>
      </c>
      <c r="S2" s="44" t="s">
        <v>39</v>
      </c>
      <c r="T2" s="44" t="s">
        <v>40</v>
      </c>
    </row>
    <row r="3" spans="2:20" x14ac:dyDescent="0.25">
      <c r="B3" s="1" t="s">
        <v>41</v>
      </c>
      <c r="C3" s="48">
        <f>+Novita!G93</f>
        <v>26.31</v>
      </c>
      <c r="D3" s="48">
        <f>+Novita!H93</f>
        <v>26.880800000000001</v>
      </c>
      <c r="E3" s="48">
        <f>+Novita!I93</f>
        <v>25.4312</v>
      </c>
      <c r="F3" s="48">
        <f>+Novita!J93</f>
        <v>26.279199999999999</v>
      </c>
      <c r="G3" s="48">
        <f>+Novita!K93</f>
        <v>26.143999999999998</v>
      </c>
      <c r="H3" s="48">
        <f>+Novita!L93</f>
        <v>26.3992</v>
      </c>
      <c r="I3" s="48">
        <f>+Novita!M93</f>
        <v>24.901599999999998</v>
      </c>
      <c r="J3" s="48">
        <f>+Novita!N93</f>
        <v>25.602400000000003</v>
      </c>
      <c r="K3" s="48">
        <f>+Novita!O93</f>
        <v>26.162400000000002</v>
      </c>
      <c r="L3" s="48">
        <f>+Novita!P93</f>
        <v>32.239200000000004</v>
      </c>
      <c r="M3" s="48">
        <f>+Novita!Q93</f>
        <v>30.3476</v>
      </c>
      <c r="N3" s="48">
        <f>+Novita!R93</f>
        <v>25.2652</v>
      </c>
      <c r="O3" s="48">
        <f>+Novita!S93</f>
        <v>31.533999999999999</v>
      </c>
      <c r="P3" s="48">
        <f>+Novita!T93</f>
        <v>32.158000000000001</v>
      </c>
      <c r="Q3" s="4">
        <f>+Novita!U93</f>
        <v>29.905999999999999</v>
      </c>
      <c r="R3" s="4">
        <f>+Novita!V93</f>
        <v>30.3872</v>
      </c>
      <c r="S3" s="4">
        <f>+Novita!W93</f>
        <v>31.0976</v>
      </c>
      <c r="T3" s="4">
        <f>+Novita!X93</f>
        <v>31.456</v>
      </c>
    </row>
    <row r="4" spans="2:20" x14ac:dyDescent="0.25">
      <c r="B4" s="1" t="s">
        <v>138</v>
      </c>
      <c r="C4" s="48">
        <f>-Novita!G117</f>
        <v>6.0683999999999996</v>
      </c>
      <c r="D4" s="48">
        <f>-Novita!H117</f>
        <v>5.7723999999999993</v>
      </c>
      <c r="E4" s="48">
        <f>-Novita!I117</f>
        <v>5.3140000000000001</v>
      </c>
      <c r="F4" s="48">
        <f>-Novita!J117</f>
        <v>4.9192</v>
      </c>
      <c r="G4" s="48">
        <f>-Novita!K117</f>
        <v>4.3212000000000002</v>
      </c>
      <c r="H4" s="48">
        <f>-Novita!L117</f>
        <v>3.8919999999999999</v>
      </c>
      <c r="I4" s="48">
        <f>-Novita!M117</f>
        <v>3.5131999999999999</v>
      </c>
      <c r="J4" s="48">
        <f>-Novita!N117</f>
        <v>3.2303999999999999</v>
      </c>
      <c r="K4" s="48">
        <f>-Novita!O117</f>
        <v>3.2831999999999999</v>
      </c>
      <c r="L4" s="48">
        <f>-Novita!P117</f>
        <v>4.4672000000000001</v>
      </c>
      <c r="M4" s="48">
        <f>-Novita!Q117</f>
        <v>4.4183999999999992</v>
      </c>
      <c r="N4" s="48">
        <f>-Novita!R117</f>
        <v>3.1160000000000001</v>
      </c>
      <c r="O4" s="48">
        <f>-Novita!S117</f>
        <v>4.2396000000000003</v>
      </c>
      <c r="P4" s="48">
        <f>-Novita!T117</f>
        <v>4.1663999999999994</v>
      </c>
      <c r="Q4" s="4">
        <f>-Novita!U117</f>
        <v>4.1251999999999995</v>
      </c>
      <c r="R4" s="4">
        <f>-Novita!V117</f>
        <v>4.0728</v>
      </c>
      <c r="S4" s="4">
        <f>-Novita!W117</f>
        <v>4.0991999999999997</v>
      </c>
      <c r="T4" s="4">
        <f>-Novita!X117</f>
        <v>4.0796000000000001</v>
      </c>
    </row>
    <row r="5" spans="2:20" x14ac:dyDescent="0.25">
      <c r="B5" s="1" t="s">
        <v>160</v>
      </c>
      <c r="C5" s="48">
        <f>+Novita!G121</f>
        <v>0</v>
      </c>
      <c r="D5" s="48">
        <f>+Novita!H121</f>
        <v>0</v>
      </c>
      <c r="E5" s="48">
        <f>+Novita!I121</f>
        <v>0</v>
      </c>
      <c r="F5" s="48">
        <f>+Novita!J121</f>
        <v>1.7</v>
      </c>
      <c r="G5" s="48">
        <f>+Novita!K121</f>
        <v>1.7</v>
      </c>
      <c r="H5" s="48">
        <f>+Novita!L121</f>
        <v>1.7</v>
      </c>
      <c r="I5" s="48">
        <f>+Novita!M121</f>
        <v>1.7</v>
      </c>
      <c r="J5" s="48">
        <f>+Novita!N121</f>
        <v>2.1</v>
      </c>
      <c r="K5" s="48">
        <f>+Novita!O121</f>
        <v>2.1</v>
      </c>
      <c r="L5" s="48">
        <f>+Novita!P121</f>
        <v>2.1</v>
      </c>
      <c r="M5" s="48">
        <f>+Novita!Q121</f>
        <v>2.1</v>
      </c>
      <c r="N5" s="48">
        <f>+Novita!R121</f>
        <v>2.5</v>
      </c>
      <c r="O5" s="48">
        <f>+Novita!S121</f>
        <v>2.5</v>
      </c>
      <c r="P5" s="48">
        <f>+Novita!T121</f>
        <v>2.5</v>
      </c>
      <c r="Q5" s="4">
        <f>+Novita!U121</f>
        <v>2.5</v>
      </c>
      <c r="R5" s="4">
        <f>+Novita!V121</f>
        <v>2.9</v>
      </c>
      <c r="S5" s="4">
        <f>+Novita!W121</f>
        <v>2.9</v>
      </c>
      <c r="T5" s="4">
        <f>+Novita!X121</f>
        <v>2.9</v>
      </c>
    </row>
    <row r="6" spans="2:20" x14ac:dyDescent="0.25">
      <c r="B6" s="1" t="s">
        <v>86</v>
      </c>
      <c r="C6" s="48">
        <f>+Novita!G122</f>
        <v>-18.628399999999999</v>
      </c>
      <c r="D6" s="48">
        <f>+Novita!H122</f>
        <v>1.2268000000000043</v>
      </c>
      <c r="E6" s="48">
        <f>+Novita!I122</f>
        <v>3.2048000000000023</v>
      </c>
      <c r="F6" s="48">
        <f>+Novita!J122</f>
        <v>2.1015999999999941</v>
      </c>
      <c r="G6" s="48">
        <f>+Novita!K122</f>
        <v>-4.4051999999999971</v>
      </c>
      <c r="H6" s="48">
        <f>+Novita!L122</f>
        <v>-0.77120000000000033</v>
      </c>
      <c r="I6" s="48">
        <f>+Novita!M122</f>
        <v>-6.1147999999999989</v>
      </c>
      <c r="J6" s="48">
        <f>+Novita!N122</f>
        <v>-6.5528000000000013</v>
      </c>
      <c r="K6" s="48">
        <f>+Novita!O122</f>
        <v>-7.5456000000000003</v>
      </c>
      <c r="L6" s="48">
        <f>+Novita!P122</f>
        <v>-10.206400000000002</v>
      </c>
      <c r="M6" s="48">
        <f>+Novita!Q122</f>
        <v>-8.9059999999999988</v>
      </c>
      <c r="N6" s="48">
        <f>+Novita!R122</f>
        <v>-10.661200000000001</v>
      </c>
      <c r="O6" s="48">
        <f>+Novita!S122</f>
        <v>-19.623600000000003</v>
      </c>
      <c r="P6" s="48">
        <f>+Novita!T122</f>
        <v>-19.824400000000004</v>
      </c>
      <c r="Q6" s="4">
        <f>+Novita!U122</f>
        <v>-15.8812</v>
      </c>
      <c r="R6" s="4">
        <f>+Novita!V122</f>
        <v>-14.86</v>
      </c>
      <c r="S6" s="4">
        <f>+Novita!W122</f>
        <v>-15.4968</v>
      </c>
      <c r="T6" s="4">
        <f>+Novita!X122</f>
        <v>-10.685599999999994</v>
      </c>
    </row>
    <row r="7" spans="2:20" x14ac:dyDescent="0.25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x14ac:dyDescent="0.25">
      <c r="B8" s="1" t="s">
        <v>87</v>
      </c>
      <c r="C8" s="4">
        <f t="shared" ref="C8:T8" si="0">SUM(C3:C7)</f>
        <v>13.75</v>
      </c>
      <c r="D8" s="4">
        <f t="shared" si="0"/>
        <v>33.880000000000003</v>
      </c>
      <c r="E8" s="4">
        <f t="shared" si="0"/>
        <v>33.950000000000003</v>
      </c>
      <c r="F8" s="4">
        <f t="shared" si="0"/>
        <v>35</v>
      </c>
      <c r="G8" s="4">
        <f t="shared" si="0"/>
        <v>27.76</v>
      </c>
      <c r="H8" s="4">
        <f t="shared" si="0"/>
        <v>31.22</v>
      </c>
      <c r="I8" s="4">
        <f t="shared" si="0"/>
        <v>24</v>
      </c>
      <c r="J8" s="4">
        <f t="shared" si="0"/>
        <v>24.380000000000003</v>
      </c>
      <c r="K8" s="4">
        <f t="shared" si="0"/>
        <v>24.000000000000004</v>
      </c>
      <c r="L8" s="4">
        <f t="shared" si="0"/>
        <v>28.6</v>
      </c>
      <c r="M8" s="4">
        <f t="shared" si="0"/>
        <v>27.96</v>
      </c>
      <c r="N8" s="4">
        <f t="shared" si="0"/>
        <v>20.22</v>
      </c>
      <c r="O8" s="4">
        <f t="shared" si="0"/>
        <v>18.649999999999999</v>
      </c>
      <c r="P8" s="4">
        <f t="shared" si="0"/>
        <v>18.999999999999993</v>
      </c>
      <c r="Q8" s="4">
        <f t="shared" si="0"/>
        <v>20.65</v>
      </c>
      <c r="R8" s="4">
        <f t="shared" si="0"/>
        <v>22.5</v>
      </c>
      <c r="S8" s="4">
        <f t="shared" si="0"/>
        <v>22.599999999999994</v>
      </c>
      <c r="T8" s="4">
        <f t="shared" si="0"/>
        <v>27.750000000000007</v>
      </c>
    </row>
    <row r="9" spans="2:20" x14ac:dyDescent="0.25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2:20" x14ac:dyDescent="0.25">
      <c r="B10" s="1" t="s">
        <v>161</v>
      </c>
      <c r="C10" s="4">
        <f>+Novita!G54</f>
        <v>13.75</v>
      </c>
      <c r="D10" s="4">
        <f>+Novita!H54</f>
        <v>33.880000000000003</v>
      </c>
      <c r="E10" s="4">
        <f>+Novita!I54</f>
        <v>33.950000000000003</v>
      </c>
      <c r="F10" s="4">
        <f>+Novita!J54</f>
        <v>35</v>
      </c>
      <c r="G10" s="4">
        <f>+Novita!K54</f>
        <v>27.76</v>
      </c>
      <c r="H10" s="4">
        <f>+Novita!L54</f>
        <v>31.22</v>
      </c>
      <c r="I10" s="4">
        <f>+Novita!M54</f>
        <v>24</v>
      </c>
      <c r="J10" s="4">
        <f>+Novita!N54</f>
        <v>24.38</v>
      </c>
      <c r="K10" s="4">
        <f>+Novita!O54</f>
        <v>24</v>
      </c>
      <c r="L10" s="4">
        <f>+Novita!P54</f>
        <v>28.6</v>
      </c>
      <c r="M10" s="4">
        <f>+Novita!Q54</f>
        <v>27.96</v>
      </c>
      <c r="N10" s="4">
        <f>+Novita!R54</f>
        <v>20.22</v>
      </c>
      <c r="O10" s="4">
        <f>+Novita!S54</f>
        <v>18.649999999999999</v>
      </c>
      <c r="P10" s="4">
        <f>+Novita!T54</f>
        <v>19</v>
      </c>
      <c r="Q10" s="4">
        <f>+Novita!U54</f>
        <v>20.65</v>
      </c>
      <c r="R10" s="4">
        <f>+Novita!V54</f>
        <v>22.5</v>
      </c>
      <c r="S10" s="4">
        <f>+Novita!W54</f>
        <v>22.6</v>
      </c>
      <c r="T10" s="4">
        <f>+Novita!X54</f>
        <v>27.75</v>
      </c>
    </row>
    <row r="12" spans="2:20" x14ac:dyDescent="0.25">
      <c r="B12" s="1" t="s">
        <v>57</v>
      </c>
      <c r="C12" s="44" t="s">
        <v>134</v>
      </c>
      <c r="D12" s="44" t="s">
        <v>21</v>
      </c>
      <c r="E12" s="44" t="s">
        <v>25</v>
      </c>
      <c r="F12" s="44" t="s">
        <v>26</v>
      </c>
      <c r="G12" s="44" t="s">
        <v>27</v>
      </c>
      <c r="H12" s="44" t="s">
        <v>28</v>
      </c>
      <c r="I12" s="44" t="s">
        <v>29</v>
      </c>
      <c r="J12" s="44" t="s">
        <v>30</v>
      </c>
      <c r="K12" s="44" t="s">
        <v>31</v>
      </c>
      <c r="L12" s="44" t="s">
        <v>32</v>
      </c>
      <c r="M12" s="44" t="s">
        <v>33</v>
      </c>
      <c r="N12" s="44" t="s">
        <v>34</v>
      </c>
      <c r="O12" s="44" t="s">
        <v>35</v>
      </c>
      <c r="P12" s="44" t="s">
        <v>36</v>
      </c>
      <c r="Q12" s="44" t="s">
        <v>37</v>
      </c>
      <c r="R12" s="44" t="s">
        <v>38</v>
      </c>
      <c r="S12" s="44" t="s">
        <v>39</v>
      </c>
      <c r="T12" s="44" t="s">
        <v>40</v>
      </c>
    </row>
    <row r="13" spans="2:20" x14ac:dyDescent="0.25">
      <c r="B13" s="28" t="s">
        <v>160</v>
      </c>
      <c r="C13" s="48">
        <f t="shared" ref="C13:T13" si="1">+C5</f>
        <v>0</v>
      </c>
      <c r="D13" s="48">
        <f t="shared" si="1"/>
        <v>0</v>
      </c>
      <c r="E13" s="48">
        <f t="shared" si="1"/>
        <v>0</v>
      </c>
      <c r="F13" s="48">
        <f t="shared" si="1"/>
        <v>1.7</v>
      </c>
      <c r="G13" s="48">
        <f t="shared" si="1"/>
        <v>1.7</v>
      </c>
      <c r="H13" s="48">
        <f t="shared" si="1"/>
        <v>1.7</v>
      </c>
      <c r="I13" s="48">
        <f t="shared" si="1"/>
        <v>1.7</v>
      </c>
      <c r="J13" s="48">
        <f t="shared" si="1"/>
        <v>2.1</v>
      </c>
      <c r="K13" s="48">
        <f t="shared" si="1"/>
        <v>2.1</v>
      </c>
      <c r="L13" s="48">
        <f t="shared" si="1"/>
        <v>2.1</v>
      </c>
      <c r="M13" s="48">
        <f t="shared" si="1"/>
        <v>2.1</v>
      </c>
      <c r="N13" s="48">
        <f t="shared" si="1"/>
        <v>2.5</v>
      </c>
      <c r="O13" s="48">
        <f t="shared" si="1"/>
        <v>2.5</v>
      </c>
      <c r="P13" s="48">
        <f t="shared" si="1"/>
        <v>2.5</v>
      </c>
      <c r="Q13" s="48">
        <f t="shared" si="1"/>
        <v>2.5</v>
      </c>
      <c r="R13" s="48">
        <f t="shared" si="1"/>
        <v>2.9</v>
      </c>
      <c r="S13" s="48">
        <f t="shared" si="1"/>
        <v>2.9</v>
      </c>
      <c r="T13" s="48">
        <f t="shared" si="1"/>
        <v>2.9</v>
      </c>
    </row>
    <row r="14" spans="2:20" x14ac:dyDescent="0.25">
      <c r="B14" s="28" t="s">
        <v>167</v>
      </c>
      <c r="C14" s="48">
        <f>+C8</f>
        <v>13.75</v>
      </c>
      <c r="D14" s="48">
        <f>+D8</f>
        <v>33.880000000000003</v>
      </c>
      <c r="E14" s="48">
        <f>+E8</f>
        <v>33.950000000000003</v>
      </c>
      <c r="F14" s="48">
        <f>+F8</f>
        <v>35</v>
      </c>
      <c r="G14" s="48">
        <f>+G8</f>
        <v>27.76</v>
      </c>
      <c r="H14" s="48">
        <f>+H8</f>
        <v>31.22</v>
      </c>
      <c r="I14" s="48">
        <f>+I8</f>
        <v>24</v>
      </c>
      <c r="J14" s="48">
        <f>+J8</f>
        <v>24.380000000000003</v>
      </c>
      <c r="K14" s="48">
        <f>+K8</f>
        <v>24.000000000000004</v>
      </c>
      <c r="L14" s="48">
        <f>+L8</f>
        <v>28.6</v>
      </c>
      <c r="M14" s="48">
        <f>+M8</f>
        <v>27.96</v>
      </c>
      <c r="N14" s="48">
        <f>+N8</f>
        <v>20.22</v>
      </c>
      <c r="O14" s="48">
        <f>+O8</f>
        <v>18.649999999999999</v>
      </c>
      <c r="P14" s="48">
        <f>+P8</f>
        <v>18.999999999999993</v>
      </c>
      <c r="Q14" s="48">
        <f>+Q8</f>
        <v>20.65</v>
      </c>
      <c r="R14" s="48">
        <f>+R8</f>
        <v>22.5</v>
      </c>
      <c r="S14" s="48">
        <f>+S8</f>
        <v>22.599999999999994</v>
      </c>
      <c r="T14" s="48">
        <f>+T8</f>
        <v>27.750000000000007</v>
      </c>
    </row>
    <row r="15" spans="2:20" x14ac:dyDescent="0.25">
      <c r="B15" s="1" t="s">
        <v>166</v>
      </c>
      <c r="C15" s="48">
        <f>+C3</f>
        <v>26.31</v>
      </c>
      <c r="D15" s="48">
        <f t="shared" ref="D15:T15" si="2">+D3</f>
        <v>26.880800000000001</v>
      </c>
      <c r="E15" s="48">
        <f t="shared" si="2"/>
        <v>25.4312</v>
      </c>
      <c r="F15" s="48">
        <f t="shared" si="2"/>
        <v>26.279199999999999</v>
      </c>
      <c r="G15" s="48">
        <f t="shared" si="2"/>
        <v>26.143999999999998</v>
      </c>
      <c r="H15" s="48">
        <f t="shared" si="2"/>
        <v>26.3992</v>
      </c>
      <c r="I15" s="48">
        <f t="shared" si="2"/>
        <v>24.901599999999998</v>
      </c>
      <c r="J15" s="48">
        <f t="shared" si="2"/>
        <v>25.602400000000003</v>
      </c>
      <c r="K15" s="48">
        <f t="shared" si="2"/>
        <v>26.162400000000002</v>
      </c>
      <c r="L15" s="48">
        <f t="shared" si="2"/>
        <v>32.239200000000004</v>
      </c>
      <c r="M15" s="48">
        <f t="shared" si="2"/>
        <v>30.3476</v>
      </c>
      <c r="N15" s="48">
        <f t="shared" si="2"/>
        <v>25.2652</v>
      </c>
      <c r="O15" s="48">
        <f t="shared" si="2"/>
        <v>31.533999999999999</v>
      </c>
      <c r="P15" s="48">
        <f t="shared" si="2"/>
        <v>32.158000000000001</v>
      </c>
      <c r="Q15" s="48">
        <f t="shared" si="2"/>
        <v>29.905999999999999</v>
      </c>
      <c r="R15" s="48">
        <f t="shared" si="2"/>
        <v>30.3872</v>
      </c>
      <c r="S15" s="48">
        <f t="shared" si="2"/>
        <v>31.0976</v>
      </c>
      <c r="T15" s="48">
        <f t="shared" si="2"/>
        <v>31.456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Novita</vt:lpstr>
      <vt:lpstr>SCA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Admin3</cp:lastModifiedBy>
  <cp:lastPrinted>2014-06-20T07:06:41Z</cp:lastPrinted>
  <dcterms:created xsi:type="dcterms:W3CDTF">2014-05-20T15:27:54Z</dcterms:created>
  <dcterms:modified xsi:type="dcterms:W3CDTF">2014-06-22T11:56:28Z</dcterms:modified>
</cp:coreProperties>
</file>