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3\Desktop\Roj\wykresy\wskaznikowa\"/>
    </mc:Choice>
  </mc:AlternateContent>
  <bookViews>
    <workbookView xWindow="0" yWindow="0" windowWidth="24000" windowHeight="9735"/>
  </bookViews>
  <sheets>
    <sheet name="LPP" sheetId="1" r:id="rId1"/>
    <sheet name="SCA" sheetId="1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5" i="1" l="1"/>
  <c r="X54" i="1"/>
  <c r="W55" i="1"/>
  <c r="W54" i="1"/>
  <c r="V55" i="1"/>
  <c r="V54" i="1"/>
  <c r="U55" i="1"/>
  <c r="U54" i="1"/>
  <c r="T55" i="1"/>
  <c r="T54" i="1"/>
  <c r="S55" i="1"/>
  <c r="S54" i="1"/>
  <c r="R55" i="1"/>
  <c r="R54" i="1"/>
  <c r="Q55" i="1"/>
  <c r="Q54" i="1"/>
  <c r="P55" i="1"/>
  <c r="P54" i="1"/>
  <c r="O55" i="1"/>
  <c r="O54" i="1"/>
  <c r="N55" i="1"/>
  <c r="N54" i="1"/>
  <c r="M55" i="1"/>
  <c r="M54" i="1"/>
  <c r="L55" i="1"/>
  <c r="L54" i="1"/>
  <c r="K55" i="1"/>
  <c r="K54" i="1"/>
  <c r="J55" i="1"/>
  <c r="J54" i="1"/>
  <c r="I55" i="1"/>
  <c r="I54" i="1"/>
  <c r="G54" i="1"/>
  <c r="H54" i="1"/>
  <c r="O44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V32" i="1"/>
  <c r="R32" i="1"/>
  <c r="P3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G22" i="1"/>
  <c r="W44" i="1"/>
  <c r="W43" i="1"/>
  <c r="W41" i="1"/>
  <c r="W39" i="1"/>
  <c r="W37" i="1"/>
  <c r="V44" i="1"/>
  <c r="V43" i="1"/>
  <c r="V41" i="1"/>
  <c r="V39" i="1"/>
  <c r="V37" i="1"/>
  <c r="U44" i="1"/>
  <c r="U43" i="1"/>
  <c r="U41" i="1"/>
  <c r="U39" i="1"/>
  <c r="U37" i="1"/>
  <c r="S44" i="1"/>
  <c r="S43" i="1"/>
  <c r="S41" i="1"/>
  <c r="S39" i="1"/>
  <c r="S37" i="1"/>
  <c r="R44" i="1"/>
  <c r="R43" i="1"/>
  <c r="R41" i="1"/>
  <c r="R39" i="1"/>
  <c r="R37" i="1"/>
  <c r="Q44" i="1"/>
  <c r="Q43" i="1"/>
  <c r="Q41" i="1"/>
  <c r="Q39" i="1"/>
  <c r="Q37" i="1"/>
  <c r="O43" i="1"/>
  <c r="O41" i="1"/>
  <c r="O39" i="1"/>
  <c r="O37" i="1"/>
  <c r="N44" i="1"/>
  <c r="N43" i="1"/>
  <c r="N41" i="1"/>
  <c r="N39" i="1"/>
  <c r="N37" i="1"/>
  <c r="M44" i="1"/>
  <c r="M43" i="1"/>
  <c r="M41" i="1"/>
  <c r="M39" i="1"/>
  <c r="M37" i="1"/>
  <c r="K44" i="1"/>
  <c r="K43" i="1"/>
  <c r="K41" i="1"/>
  <c r="K39" i="1"/>
  <c r="K37" i="1"/>
  <c r="J44" i="1"/>
  <c r="J43" i="1"/>
  <c r="J41" i="1"/>
  <c r="J39" i="1"/>
  <c r="J37" i="1"/>
  <c r="I44" i="1"/>
  <c r="I43" i="1"/>
  <c r="I41" i="1"/>
  <c r="I39" i="1"/>
  <c r="I37" i="1"/>
  <c r="J99" i="1" l="1"/>
  <c r="K99" i="1" s="1"/>
  <c r="L99" i="1" s="1"/>
  <c r="G95" i="1"/>
  <c r="I100" i="1" l="1"/>
  <c r="H100" i="1"/>
  <c r="U31" i="1"/>
  <c r="Q31" i="1"/>
  <c r="M31" i="1"/>
  <c r="I31" i="1"/>
  <c r="H21" i="1"/>
  <c r="H18" i="1"/>
  <c r="H12" i="1"/>
  <c r="H9" i="1"/>
  <c r="G21" i="1"/>
  <c r="G18" i="1"/>
  <c r="G107" i="1" s="1"/>
  <c r="G12" i="1"/>
  <c r="G9" i="1"/>
  <c r="L42" i="1"/>
  <c r="H25" i="1" l="1"/>
  <c r="H27" i="1" s="1"/>
  <c r="G25" i="1"/>
  <c r="G27" i="1" s="1"/>
  <c r="G169" i="1"/>
  <c r="G168" i="1"/>
  <c r="F168" i="1"/>
  <c r="E168" i="1"/>
  <c r="D168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X94" i="1"/>
  <c r="T94" i="1"/>
  <c r="P94" i="1"/>
  <c r="L94" i="1"/>
  <c r="W94" i="1" l="1"/>
  <c r="G170" i="1"/>
  <c r="G173" i="1" s="1"/>
  <c r="F170" i="1"/>
  <c r="F169" i="1"/>
  <c r="U94" i="1"/>
  <c r="V94" i="1"/>
  <c r="F171" i="1"/>
  <c r="S94" i="1"/>
  <c r="E169" i="1"/>
  <c r="Q94" i="1"/>
  <c r="R94" i="1"/>
  <c r="E171" i="1"/>
  <c r="O94" i="1"/>
  <c r="E170" i="1"/>
  <c r="D170" i="1"/>
  <c r="N94" i="1"/>
  <c r="D169" i="1"/>
  <c r="M94" i="1"/>
  <c r="D171" i="1"/>
  <c r="K94" i="1"/>
  <c r="K97" i="1" s="1"/>
  <c r="I168" i="1"/>
  <c r="H168" i="1"/>
  <c r="I40" i="1"/>
  <c r="X121" i="1"/>
  <c r="T5" i="11" s="1"/>
  <c r="T13" i="11" s="1"/>
  <c r="W121" i="1"/>
  <c r="S5" i="11" s="1"/>
  <c r="S13" i="11" s="1"/>
  <c r="V121" i="1"/>
  <c r="R5" i="11" s="1"/>
  <c r="R13" i="11" s="1"/>
  <c r="U121" i="1"/>
  <c r="Q5" i="11" s="1"/>
  <c r="Q13" i="11" s="1"/>
  <c r="T121" i="1"/>
  <c r="P5" i="11" s="1"/>
  <c r="P13" i="11" s="1"/>
  <c r="S121" i="1"/>
  <c r="O5" i="11" s="1"/>
  <c r="O13" i="11" s="1"/>
  <c r="R121" i="1"/>
  <c r="N5" i="11" s="1"/>
  <c r="N13" i="11" s="1"/>
  <c r="Q121" i="1"/>
  <c r="M5" i="11" s="1"/>
  <c r="M13" i="11" s="1"/>
  <c r="P121" i="1"/>
  <c r="L5" i="11" s="1"/>
  <c r="L13" i="11" s="1"/>
  <c r="O121" i="1"/>
  <c r="K5" i="11" s="1"/>
  <c r="K13" i="11" s="1"/>
  <c r="N121" i="1"/>
  <c r="J5" i="11" s="1"/>
  <c r="J13" i="11" s="1"/>
  <c r="M121" i="1"/>
  <c r="I5" i="11" s="1"/>
  <c r="I13" i="11" s="1"/>
  <c r="L121" i="1"/>
  <c r="H5" i="11" s="1"/>
  <c r="H13" i="11" s="1"/>
  <c r="K121" i="1"/>
  <c r="G5" i="11" s="1"/>
  <c r="G13" i="11" s="1"/>
  <c r="J121" i="1"/>
  <c r="F5" i="11" s="1"/>
  <c r="F13" i="11" s="1"/>
  <c r="I121" i="1"/>
  <c r="E5" i="11" s="1"/>
  <c r="E13" i="11" s="1"/>
  <c r="H121" i="1"/>
  <c r="D5" i="11" s="1"/>
  <c r="D13" i="11" s="1"/>
  <c r="X117" i="1"/>
  <c r="T4" i="11" s="1"/>
  <c r="W117" i="1"/>
  <c r="S4" i="11" s="1"/>
  <c r="V117" i="1"/>
  <c r="R4" i="11" s="1"/>
  <c r="U117" i="1"/>
  <c r="Q4" i="11" s="1"/>
  <c r="T117" i="1"/>
  <c r="P4" i="11" s="1"/>
  <c r="S117" i="1"/>
  <c r="O4" i="11" s="1"/>
  <c r="R117" i="1"/>
  <c r="N4" i="11" s="1"/>
  <c r="Q117" i="1"/>
  <c r="M4" i="11" s="1"/>
  <c r="P117" i="1"/>
  <c r="L4" i="11" s="1"/>
  <c r="O117" i="1"/>
  <c r="K4" i="11" s="1"/>
  <c r="N117" i="1"/>
  <c r="J4" i="11" s="1"/>
  <c r="M117" i="1"/>
  <c r="I4" i="11" s="1"/>
  <c r="L117" i="1"/>
  <c r="H4" i="11" s="1"/>
  <c r="K117" i="1"/>
  <c r="G4" i="11" s="1"/>
  <c r="J117" i="1"/>
  <c r="F4" i="11" s="1"/>
  <c r="I117" i="1"/>
  <c r="E4" i="11" s="1"/>
  <c r="H117" i="1"/>
  <c r="D4" i="11" s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7" i="1"/>
  <c r="C4" i="11" s="1"/>
  <c r="G116" i="1"/>
  <c r="G121" i="1"/>
  <c r="C5" i="11" s="1"/>
  <c r="C13" i="11" s="1"/>
  <c r="H170" i="1" l="1"/>
  <c r="I170" i="1"/>
  <c r="J170" i="1" s="1"/>
  <c r="I171" i="1"/>
  <c r="D173" i="1"/>
  <c r="F173" i="1"/>
  <c r="H171" i="1"/>
  <c r="E173" i="1"/>
  <c r="I169" i="1"/>
  <c r="H169" i="1"/>
  <c r="J168" i="1"/>
  <c r="V119" i="1"/>
  <c r="U119" i="1"/>
  <c r="W119" i="1"/>
  <c r="X119" i="1"/>
  <c r="S119" i="1"/>
  <c r="R119" i="1"/>
  <c r="Q119" i="1"/>
  <c r="T119" i="1"/>
  <c r="O119" i="1"/>
  <c r="N119" i="1"/>
  <c r="M119" i="1"/>
  <c r="P119" i="1"/>
  <c r="K119" i="1"/>
  <c r="J119" i="1"/>
  <c r="I119" i="1"/>
  <c r="L119" i="1"/>
  <c r="H119" i="1"/>
  <c r="G119" i="1"/>
  <c r="H174" i="1" l="1"/>
  <c r="J171" i="1"/>
  <c r="H173" i="1"/>
  <c r="J169" i="1"/>
  <c r="V99" i="1"/>
  <c r="W99" i="1" s="1"/>
  <c r="X99" i="1" s="1"/>
  <c r="R99" i="1"/>
  <c r="S99" i="1" s="1"/>
  <c r="T99" i="1" s="1"/>
  <c r="U99" i="1" s="1"/>
  <c r="N99" i="1"/>
  <c r="O99" i="1" s="1"/>
  <c r="P99" i="1" s="1"/>
  <c r="Q99" i="1" s="1"/>
  <c r="J173" i="1" l="1"/>
  <c r="K170" i="1" s="1"/>
  <c r="F44" i="1" s="1"/>
  <c r="X93" i="1"/>
  <c r="T3" i="11" s="1"/>
  <c r="T14" i="11" s="1"/>
  <c r="W93" i="1"/>
  <c r="S3" i="11" s="1"/>
  <c r="S14" i="11" s="1"/>
  <c r="V93" i="1"/>
  <c r="R3" i="11" s="1"/>
  <c r="R14" i="11" s="1"/>
  <c r="U93" i="1"/>
  <c r="Q3" i="11" s="1"/>
  <c r="Q14" i="11" s="1"/>
  <c r="T93" i="1"/>
  <c r="P3" i="11" s="1"/>
  <c r="P14" i="11" s="1"/>
  <c r="S93" i="1"/>
  <c r="O3" i="11" s="1"/>
  <c r="O14" i="11" s="1"/>
  <c r="R93" i="1"/>
  <c r="N3" i="11" s="1"/>
  <c r="N14" i="11" s="1"/>
  <c r="Q93" i="1"/>
  <c r="M3" i="11" s="1"/>
  <c r="M14" i="11" s="1"/>
  <c r="P93" i="1"/>
  <c r="L3" i="11" s="1"/>
  <c r="L14" i="11" s="1"/>
  <c r="O93" i="1"/>
  <c r="K3" i="11" s="1"/>
  <c r="K14" i="11" s="1"/>
  <c r="M93" i="1"/>
  <c r="I3" i="11" s="1"/>
  <c r="I14" i="11" s="1"/>
  <c r="L93" i="1"/>
  <c r="H3" i="11" s="1"/>
  <c r="H14" i="11" s="1"/>
  <c r="K93" i="1"/>
  <c r="G3" i="11" s="1"/>
  <c r="G14" i="11" s="1"/>
  <c r="I93" i="1"/>
  <c r="E3" i="11" s="1"/>
  <c r="E14" i="11" s="1"/>
  <c r="H93" i="1"/>
  <c r="D3" i="11" s="1"/>
  <c r="D14" i="11" s="1"/>
  <c r="G93" i="1"/>
  <c r="C3" i="11" l="1"/>
  <c r="C14" i="11" s="1"/>
  <c r="G96" i="1"/>
  <c r="K169" i="1"/>
  <c r="E44" i="1" s="1"/>
  <c r="K168" i="1"/>
  <c r="D44" i="1" s="1"/>
  <c r="K171" i="1"/>
  <c r="G44" i="1" s="1"/>
  <c r="J93" i="1"/>
  <c r="F3" i="11" s="1"/>
  <c r="F14" i="11" s="1"/>
  <c r="H94" i="1" l="1"/>
  <c r="AA44" i="1"/>
  <c r="I94" i="1"/>
  <c r="I97" i="1" s="1"/>
  <c r="G94" i="1"/>
  <c r="K173" i="1"/>
  <c r="J94" i="1"/>
  <c r="J97" i="1" s="1"/>
  <c r="X9" i="1"/>
  <c r="X12" i="1"/>
  <c r="X18" i="1"/>
  <c r="X21" i="1"/>
  <c r="X29" i="1"/>
  <c r="X30" i="1"/>
  <c r="X38" i="1"/>
  <c r="X40" i="1"/>
  <c r="X42" i="1"/>
  <c r="X49" i="1"/>
  <c r="X104" i="1"/>
  <c r="X33" i="1" l="1"/>
  <c r="X25" i="1"/>
  <c r="X27" i="1" s="1"/>
  <c r="X108" i="1"/>
  <c r="X124" i="1"/>
  <c r="X122" i="1" s="1"/>
  <c r="T6" i="11" s="1"/>
  <c r="T10" i="11"/>
  <c r="X100" i="1"/>
  <c r="X95" i="1"/>
  <c r="X107" i="1" s="1"/>
  <c r="X96" i="1"/>
  <c r="X80" i="1"/>
  <c r="X79" i="1"/>
  <c r="T8" i="11" l="1"/>
  <c r="T15" i="11" s="1"/>
  <c r="Z42" i="1"/>
  <c r="Z40" i="1"/>
  <c r="Z38" i="1"/>
  <c r="H190" i="1" l="1"/>
  <c r="H189" i="1"/>
  <c r="H188" i="1"/>
  <c r="G187" i="1"/>
  <c r="G186" i="1"/>
  <c r="G185" i="1"/>
  <c r="F184" i="1"/>
  <c r="F183" i="1"/>
  <c r="F182" i="1"/>
  <c r="E181" i="1"/>
  <c r="E180" i="1"/>
  <c r="E178" i="1"/>
  <c r="D181" i="1"/>
  <c r="D179" i="1"/>
  <c r="D178" i="1"/>
  <c r="E192" i="1" l="1"/>
  <c r="H192" i="1"/>
  <c r="D192" i="1"/>
  <c r="G192" i="1"/>
  <c r="F192" i="1"/>
  <c r="F196" i="1" l="1"/>
  <c r="D196" i="1"/>
  <c r="C200" i="1"/>
  <c r="G200" i="1"/>
  <c r="G196" i="1"/>
  <c r="C204" i="1"/>
  <c r="F200" i="1"/>
  <c r="H196" i="1"/>
  <c r="H200" i="1"/>
  <c r="E200" i="1"/>
  <c r="D200" i="1"/>
  <c r="D204" i="1"/>
  <c r="E196" i="1"/>
  <c r="E204" i="1"/>
  <c r="C196" i="1"/>
  <c r="W104" i="1" l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H124" i="1" l="1"/>
  <c r="H122" i="1" s="1"/>
  <c r="D6" i="11" s="1"/>
  <c r="D10" i="11"/>
  <c r="J100" i="1"/>
  <c r="F10" i="11"/>
  <c r="J124" i="1"/>
  <c r="J122" i="1" s="1"/>
  <c r="F6" i="11" s="1"/>
  <c r="L124" i="1"/>
  <c r="L122" i="1" s="1"/>
  <c r="H6" i="11" s="1"/>
  <c r="H10" i="11"/>
  <c r="J10" i="11"/>
  <c r="N124" i="1"/>
  <c r="N122" i="1" s="1"/>
  <c r="J6" i="11" s="1"/>
  <c r="P124" i="1"/>
  <c r="P122" i="1" s="1"/>
  <c r="L6" i="11" s="1"/>
  <c r="L10" i="11"/>
  <c r="N10" i="11"/>
  <c r="R124" i="1"/>
  <c r="R122" i="1" s="1"/>
  <c r="N6" i="11" s="1"/>
  <c r="T124" i="1"/>
  <c r="T122" i="1" s="1"/>
  <c r="P6" i="11" s="1"/>
  <c r="P10" i="11"/>
  <c r="R10" i="11"/>
  <c r="V124" i="1"/>
  <c r="V122" i="1" s="1"/>
  <c r="R6" i="11" s="1"/>
  <c r="G124" i="1"/>
  <c r="C10" i="11"/>
  <c r="E10" i="11"/>
  <c r="I124" i="1"/>
  <c r="I122" i="1" s="1"/>
  <c r="E6" i="11" s="1"/>
  <c r="K124" i="1"/>
  <c r="K122" i="1" s="1"/>
  <c r="G6" i="11" s="1"/>
  <c r="G10" i="11"/>
  <c r="I10" i="11"/>
  <c r="M124" i="1"/>
  <c r="M122" i="1" s="1"/>
  <c r="I6" i="11" s="1"/>
  <c r="O124" i="1"/>
  <c r="O122" i="1" s="1"/>
  <c r="K6" i="11" s="1"/>
  <c r="K10" i="11"/>
  <c r="M10" i="11"/>
  <c r="Q124" i="1"/>
  <c r="Q122" i="1" s="1"/>
  <c r="M6" i="11" s="1"/>
  <c r="S124" i="1"/>
  <c r="S122" i="1" s="1"/>
  <c r="O6" i="11" s="1"/>
  <c r="O10" i="11"/>
  <c r="Q10" i="11"/>
  <c r="U124" i="1"/>
  <c r="U122" i="1" s="1"/>
  <c r="Q6" i="11" s="1"/>
  <c r="W124" i="1"/>
  <c r="W122" i="1" s="1"/>
  <c r="S6" i="11" s="1"/>
  <c r="S10" i="11"/>
  <c r="K95" i="1"/>
  <c r="K100" i="1"/>
  <c r="K96" i="1"/>
  <c r="W95" i="1"/>
  <c r="W100" i="1"/>
  <c r="W96" i="1"/>
  <c r="H95" i="1"/>
  <c r="H96" i="1"/>
  <c r="L100" i="1"/>
  <c r="L95" i="1"/>
  <c r="L96" i="1"/>
  <c r="N100" i="1"/>
  <c r="N95" i="1"/>
  <c r="P100" i="1"/>
  <c r="P95" i="1"/>
  <c r="P96" i="1"/>
  <c r="R95" i="1"/>
  <c r="R100" i="1"/>
  <c r="R96" i="1"/>
  <c r="T100" i="1"/>
  <c r="T95" i="1"/>
  <c r="T96" i="1"/>
  <c r="V95" i="1"/>
  <c r="V100" i="1"/>
  <c r="V96" i="1"/>
  <c r="I95" i="1"/>
  <c r="I96" i="1"/>
  <c r="M100" i="1"/>
  <c r="M95" i="1"/>
  <c r="M96" i="1"/>
  <c r="O95" i="1"/>
  <c r="O100" i="1"/>
  <c r="O96" i="1"/>
  <c r="Q95" i="1"/>
  <c r="Q100" i="1"/>
  <c r="Q96" i="1"/>
  <c r="S95" i="1"/>
  <c r="S100" i="1"/>
  <c r="S96" i="1"/>
  <c r="U100" i="1"/>
  <c r="U95" i="1"/>
  <c r="U96" i="1"/>
  <c r="J96" i="1"/>
  <c r="J95" i="1"/>
  <c r="G128" i="1"/>
  <c r="F128" i="1"/>
  <c r="E128" i="1"/>
  <c r="D128" i="1"/>
  <c r="T30" i="1"/>
  <c r="P30" i="1"/>
  <c r="L30" i="1"/>
  <c r="H30" i="1"/>
  <c r="W29" i="1"/>
  <c r="V29" i="1"/>
  <c r="U29" i="1"/>
  <c r="T29" i="1"/>
  <c r="S29" i="1"/>
  <c r="R29" i="1"/>
  <c r="Q29" i="1"/>
  <c r="P29" i="1"/>
  <c r="M29" i="1"/>
  <c r="L29" i="1"/>
  <c r="K29" i="1"/>
  <c r="J29" i="1"/>
  <c r="I29" i="1"/>
  <c r="H29" i="1"/>
  <c r="G122" i="1" l="1"/>
  <c r="C6" i="11" s="1"/>
  <c r="C8" i="11" s="1"/>
  <c r="C15" i="11" s="1"/>
  <c r="S8" i="11"/>
  <c r="S15" i="11" s="1"/>
  <c r="O8" i="11"/>
  <c r="O15" i="11" s="1"/>
  <c r="K8" i="11"/>
  <c r="K15" i="11" s="1"/>
  <c r="G8" i="11"/>
  <c r="G15" i="11" s="1"/>
  <c r="P8" i="11"/>
  <c r="P15" i="11" s="1"/>
  <c r="L8" i="11"/>
  <c r="L15" i="11" s="1"/>
  <c r="H8" i="11"/>
  <c r="H15" i="11" s="1"/>
  <c r="Q8" i="11"/>
  <c r="Q15" i="11" s="1"/>
  <c r="M8" i="11"/>
  <c r="M15" i="11" s="1"/>
  <c r="I8" i="11"/>
  <c r="I15" i="11" s="1"/>
  <c r="E8" i="11"/>
  <c r="E15" i="11" s="1"/>
  <c r="R8" i="11"/>
  <c r="R15" i="11" s="1"/>
  <c r="N8" i="11"/>
  <c r="N15" i="11" s="1"/>
  <c r="F8" i="11"/>
  <c r="F15" i="11" s="1"/>
  <c r="D8" i="11"/>
  <c r="D15" i="11" s="1"/>
  <c r="H33" i="1"/>
  <c r="L33" i="1"/>
  <c r="P33" i="1"/>
  <c r="T33" i="1"/>
  <c r="I128" i="1"/>
  <c r="H128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T42" i="1"/>
  <c r="G158" i="1" s="1"/>
  <c r="P42" i="1"/>
  <c r="F158" i="1" s="1"/>
  <c r="E158" i="1"/>
  <c r="T40" i="1"/>
  <c r="P40" i="1"/>
  <c r="L40" i="1"/>
  <c r="T38" i="1"/>
  <c r="P38" i="1"/>
  <c r="L38" i="1"/>
  <c r="W21" i="1"/>
  <c r="V21" i="1"/>
  <c r="U21" i="1"/>
  <c r="T21" i="1"/>
  <c r="S21" i="1"/>
  <c r="R21" i="1"/>
  <c r="Q21" i="1"/>
  <c r="P21" i="1"/>
  <c r="O21" i="1"/>
  <c r="M21" i="1"/>
  <c r="L21" i="1"/>
  <c r="K21" i="1"/>
  <c r="J21" i="1"/>
  <c r="I21" i="1"/>
  <c r="W18" i="1"/>
  <c r="W108" i="1" s="1"/>
  <c r="V18" i="1"/>
  <c r="V108" i="1" s="1"/>
  <c r="U18" i="1"/>
  <c r="U108" i="1" s="1"/>
  <c r="T18" i="1"/>
  <c r="T108" i="1" s="1"/>
  <c r="S18" i="1"/>
  <c r="S108" i="1" s="1"/>
  <c r="R18" i="1"/>
  <c r="R108" i="1" s="1"/>
  <c r="Q18" i="1"/>
  <c r="Q108" i="1" s="1"/>
  <c r="P18" i="1"/>
  <c r="P108" i="1" s="1"/>
  <c r="O18" i="1"/>
  <c r="O108" i="1" s="1"/>
  <c r="N18" i="1"/>
  <c r="M18" i="1"/>
  <c r="M108" i="1" s="1"/>
  <c r="L18" i="1"/>
  <c r="L108" i="1" s="1"/>
  <c r="K18" i="1"/>
  <c r="K108" i="1" s="1"/>
  <c r="J18" i="1"/>
  <c r="J108" i="1" s="1"/>
  <c r="I18" i="1"/>
  <c r="I108" i="1" s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W107" i="1" l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F129" i="1"/>
  <c r="G129" i="1"/>
  <c r="D129" i="1"/>
  <c r="L25" i="1"/>
  <c r="L27" i="1" s="1"/>
  <c r="L80" i="1"/>
  <c r="L79" i="1"/>
  <c r="I25" i="1"/>
  <c r="I27" i="1" s="1"/>
  <c r="I79" i="1"/>
  <c r="I80" i="1"/>
  <c r="M25" i="1"/>
  <c r="M27" i="1" s="1"/>
  <c r="M79" i="1"/>
  <c r="M80" i="1"/>
  <c r="Q25" i="1"/>
  <c r="Q27" i="1" s="1"/>
  <c r="Q79" i="1"/>
  <c r="Q80" i="1"/>
  <c r="U25" i="1"/>
  <c r="U27" i="1" s="1"/>
  <c r="U79" i="1"/>
  <c r="U80" i="1"/>
  <c r="E148" i="1"/>
  <c r="Q30" i="1"/>
  <c r="Q33" i="1" s="1"/>
  <c r="T25" i="1"/>
  <c r="T27" i="1" s="1"/>
  <c r="T80" i="1"/>
  <c r="T79" i="1"/>
  <c r="J25" i="1"/>
  <c r="J27" i="1" s="1"/>
  <c r="J79" i="1"/>
  <c r="J80" i="1"/>
  <c r="N79" i="1"/>
  <c r="R25" i="1"/>
  <c r="R27" i="1" s="1"/>
  <c r="R79" i="1"/>
  <c r="R80" i="1"/>
  <c r="V25" i="1"/>
  <c r="V27" i="1" s="1"/>
  <c r="V80" i="1"/>
  <c r="V79" i="1"/>
  <c r="F148" i="1"/>
  <c r="M30" i="1"/>
  <c r="M33" i="1" s="1"/>
  <c r="P25" i="1"/>
  <c r="P27" i="1" s="1"/>
  <c r="P80" i="1"/>
  <c r="P79" i="1"/>
  <c r="U30" i="1"/>
  <c r="U33" i="1" s="1"/>
  <c r="K25" i="1"/>
  <c r="K27" i="1" s="1"/>
  <c r="K80" i="1"/>
  <c r="K79" i="1"/>
  <c r="O25" i="1"/>
  <c r="O27" i="1" s="1"/>
  <c r="O79" i="1"/>
  <c r="O80" i="1"/>
  <c r="S25" i="1"/>
  <c r="S27" i="1" s="1"/>
  <c r="S80" i="1"/>
  <c r="S79" i="1"/>
  <c r="W25" i="1"/>
  <c r="W27" i="1" s="1"/>
  <c r="W79" i="1"/>
  <c r="W80" i="1"/>
  <c r="G148" i="1"/>
  <c r="I30" i="1"/>
  <c r="I33" i="1" s="1"/>
  <c r="F138" i="1"/>
  <c r="E138" i="1"/>
  <c r="G138" i="1"/>
  <c r="J128" i="1"/>
  <c r="I42" i="1"/>
  <c r="D159" i="1" s="1"/>
  <c r="J40" i="1"/>
  <c r="Q42" i="1"/>
  <c r="F159" i="1" s="1"/>
  <c r="I38" i="1"/>
  <c r="M38" i="1"/>
  <c r="E129" i="1"/>
  <c r="Q38" i="1"/>
  <c r="U42" i="1"/>
  <c r="G159" i="1" s="1"/>
  <c r="U40" i="1"/>
  <c r="U38" i="1"/>
  <c r="R40" i="1"/>
  <c r="Q40" i="1"/>
  <c r="M42" i="1"/>
  <c r="E159" i="1" s="1"/>
  <c r="N40" i="1"/>
  <c r="M40" i="1"/>
  <c r="H38" i="1"/>
  <c r="H49" i="1"/>
  <c r="H42" i="1"/>
  <c r="D158" i="1" s="1"/>
  <c r="H40" i="1"/>
  <c r="G49" i="1"/>
  <c r="H108" i="1" l="1"/>
  <c r="H107" i="1"/>
  <c r="X106" i="1"/>
  <c r="W106" i="1"/>
  <c r="X109" i="1"/>
  <c r="W109" i="1"/>
  <c r="V81" i="1"/>
  <c r="T106" i="1"/>
  <c r="S106" i="1"/>
  <c r="V106" i="1"/>
  <c r="U106" i="1"/>
  <c r="R81" i="1"/>
  <c r="P106" i="1"/>
  <c r="Q106" i="1"/>
  <c r="O106" i="1"/>
  <c r="R106" i="1"/>
  <c r="P109" i="1"/>
  <c r="O109" i="1"/>
  <c r="Q109" i="1"/>
  <c r="R109" i="1"/>
  <c r="L106" i="1"/>
  <c r="K106" i="1"/>
  <c r="N106" i="1"/>
  <c r="M106" i="1"/>
  <c r="E130" i="1"/>
  <c r="E131" i="1"/>
  <c r="X66" i="1"/>
  <c r="G130" i="1"/>
  <c r="G133" i="1" s="1"/>
  <c r="X72" i="1"/>
  <c r="X81" i="1"/>
  <c r="E150" i="1"/>
  <c r="L81" i="1"/>
  <c r="K81" i="1"/>
  <c r="M81" i="1"/>
  <c r="D148" i="1"/>
  <c r="H148" i="1" s="1"/>
  <c r="G149" i="1"/>
  <c r="R66" i="1"/>
  <c r="V30" i="1"/>
  <c r="V33" i="1" s="1"/>
  <c r="N81" i="1"/>
  <c r="D149" i="1"/>
  <c r="T81" i="1"/>
  <c r="S81" i="1"/>
  <c r="U81" i="1"/>
  <c r="F149" i="1"/>
  <c r="R42" i="1"/>
  <c r="F160" i="1" s="1"/>
  <c r="D150" i="1"/>
  <c r="H159" i="1"/>
  <c r="I159" i="1"/>
  <c r="R72" i="1"/>
  <c r="W81" i="1"/>
  <c r="W72" i="1"/>
  <c r="P81" i="1"/>
  <c r="O81" i="1"/>
  <c r="P72" i="1"/>
  <c r="O72" i="1"/>
  <c r="Q81" i="1"/>
  <c r="Q72" i="1"/>
  <c r="N30" i="1"/>
  <c r="I158" i="1"/>
  <c r="H158" i="1"/>
  <c r="H80" i="1"/>
  <c r="H79" i="1"/>
  <c r="E149" i="1"/>
  <c r="F150" i="1"/>
  <c r="W38" i="1"/>
  <c r="W66" i="1"/>
  <c r="F139" i="1"/>
  <c r="E139" i="1"/>
  <c r="P66" i="1"/>
  <c r="G139" i="1"/>
  <c r="D139" i="1"/>
  <c r="O66" i="1"/>
  <c r="D138" i="1"/>
  <c r="Q66" i="1"/>
  <c r="N42" i="1"/>
  <c r="E160" i="1" s="1"/>
  <c r="V38" i="1"/>
  <c r="I129" i="1"/>
  <c r="H129" i="1"/>
  <c r="D130" i="1"/>
  <c r="J38" i="1"/>
  <c r="K40" i="1"/>
  <c r="J30" i="1"/>
  <c r="J33" i="1" s="1"/>
  <c r="F130" i="1"/>
  <c r="R30" i="1"/>
  <c r="R33" i="1" s="1"/>
  <c r="J42" i="1"/>
  <c r="D160" i="1" s="1"/>
  <c r="V42" i="1"/>
  <c r="G160" i="1" s="1"/>
  <c r="G163" i="1" s="1"/>
  <c r="V40" i="1"/>
  <c r="R38" i="1"/>
  <c r="S40" i="1"/>
  <c r="U82" i="1" s="1"/>
  <c r="O38" i="1"/>
  <c r="N38" i="1"/>
  <c r="O40" i="1"/>
  <c r="R82" i="1" s="1"/>
  <c r="W105" i="1" l="1"/>
  <c r="W112" i="1" s="1"/>
  <c r="X105" i="1"/>
  <c r="X112" i="1" s="1"/>
  <c r="V105" i="1"/>
  <c r="T105" i="1"/>
  <c r="U105" i="1"/>
  <c r="S105" i="1"/>
  <c r="T109" i="1"/>
  <c r="S109" i="1"/>
  <c r="V109" i="1"/>
  <c r="U109" i="1"/>
  <c r="R97" i="1"/>
  <c r="R105" i="1"/>
  <c r="R111" i="1" s="1"/>
  <c r="Q105" i="1"/>
  <c r="Q111" i="1" s="1"/>
  <c r="P105" i="1"/>
  <c r="P112" i="1" s="1"/>
  <c r="O105" i="1"/>
  <c r="O112" i="1" s="1"/>
  <c r="N97" i="1"/>
  <c r="L105" i="1"/>
  <c r="K105" i="1"/>
  <c r="M105" i="1"/>
  <c r="L109" i="1"/>
  <c r="M109" i="1"/>
  <c r="K109" i="1"/>
  <c r="N109" i="1"/>
  <c r="O42" i="1"/>
  <c r="E161" i="1" s="1"/>
  <c r="E163" i="1" s="1"/>
  <c r="W87" i="1"/>
  <c r="E133" i="1"/>
  <c r="P87" i="1"/>
  <c r="X97" i="1"/>
  <c r="W97" i="1"/>
  <c r="R87" i="1"/>
  <c r="T97" i="1"/>
  <c r="U97" i="1"/>
  <c r="N74" i="1"/>
  <c r="L97" i="1"/>
  <c r="M97" i="1"/>
  <c r="P97" i="1"/>
  <c r="Q97" i="1"/>
  <c r="V97" i="1"/>
  <c r="O87" i="1"/>
  <c r="U72" i="1"/>
  <c r="X87" i="1"/>
  <c r="Q87" i="1"/>
  <c r="K72" i="1"/>
  <c r="H149" i="1"/>
  <c r="X74" i="1"/>
  <c r="X73" i="1"/>
  <c r="X75" i="1"/>
  <c r="X67" i="1"/>
  <c r="X68" i="1"/>
  <c r="Q82" i="1"/>
  <c r="I148" i="1"/>
  <c r="J148" i="1" s="1"/>
  <c r="S72" i="1"/>
  <c r="L72" i="1"/>
  <c r="N72" i="1"/>
  <c r="S30" i="1"/>
  <c r="S33" i="1" s="1"/>
  <c r="S73" i="1"/>
  <c r="T75" i="1"/>
  <c r="S74" i="1"/>
  <c r="T73" i="1"/>
  <c r="S75" i="1"/>
  <c r="T74" i="1"/>
  <c r="U73" i="1"/>
  <c r="U75" i="1"/>
  <c r="U74" i="1"/>
  <c r="O30" i="1"/>
  <c r="O73" i="1"/>
  <c r="P75" i="1"/>
  <c r="O75" i="1"/>
  <c r="P74" i="1"/>
  <c r="O74" i="1"/>
  <c r="P73" i="1"/>
  <c r="Q73" i="1"/>
  <c r="Q74" i="1"/>
  <c r="Q75" i="1"/>
  <c r="V73" i="1"/>
  <c r="G150" i="1"/>
  <c r="I150" i="1" s="1"/>
  <c r="V82" i="1"/>
  <c r="V83" i="1" s="1"/>
  <c r="W30" i="1"/>
  <c r="W33" i="1" s="1"/>
  <c r="W73" i="1"/>
  <c r="W75" i="1"/>
  <c r="W74" i="1"/>
  <c r="J159" i="1"/>
  <c r="R73" i="1"/>
  <c r="T72" i="1"/>
  <c r="V74" i="1"/>
  <c r="D151" i="1"/>
  <c r="D153" i="1" s="1"/>
  <c r="K82" i="1"/>
  <c r="L82" i="1"/>
  <c r="I149" i="1"/>
  <c r="V72" i="1"/>
  <c r="R74" i="1"/>
  <c r="M72" i="1"/>
  <c r="K30" i="1"/>
  <c r="K33" i="1" s="1"/>
  <c r="K73" i="1"/>
  <c r="L75" i="1"/>
  <c r="L73" i="1"/>
  <c r="K75" i="1"/>
  <c r="L74" i="1"/>
  <c r="K74" i="1"/>
  <c r="M75" i="1"/>
  <c r="M74" i="1"/>
  <c r="M73" i="1"/>
  <c r="N73" i="1"/>
  <c r="E151" i="1"/>
  <c r="E153" i="1" s="1"/>
  <c r="O82" i="1"/>
  <c r="P82" i="1"/>
  <c r="F151" i="1"/>
  <c r="F153" i="1" s="1"/>
  <c r="S82" i="1"/>
  <c r="T82" i="1"/>
  <c r="H160" i="1"/>
  <c r="I160" i="1"/>
  <c r="M82" i="1"/>
  <c r="J158" i="1"/>
  <c r="V75" i="1"/>
  <c r="N82" i="1"/>
  <c r="E140" i="1"/>
  <c r="Q68" i="1"/>
  <c r="O67" i="1"/>
  <c r="E141" i="1"/>
  <c r="O68" i="1"/>
  <c r="P67" i="1"/>
  <c r="P68" i="1"/>
  <c r="F131" i="1"/>
  <c r="F133" i="1" s="1"/>
  <c r="S66" i="1"/>
  <c r="T66" i="1"/>
  <c r="U66" i="1"/>
  <c r="V66" i="1"/>
  <c r="G140" i="1"/>
  <c r="G143" i="1" s="1"/>
  <c r="W68" i="1"/>
  <c r="H139" i="1"/>
  <c r="I139" i="1"/>
  <c r="Q67" i="1"/>
  <c r="M66" i="1"/>
  <c r="L66" i="1"/>
  <c r="N66" i="1"/>
  <c r="W67" i="1"/>
  <c r="R67" i="1"/>
  <c r="F140" i="1"/>
  <c r="R68" i="1"/>
  <c r="D140" i="1"/>
  <c r="I138" i="1"/>
  <c r="H138" i="1"/>
  <c r="I130" i="1"/>
  <c r="J129" i="1"/>
  <c r="K42" i="1"/>
  <c r="D161" i="1" s="1"/>
  <c r="S42" i="1"/>
  <c r="F161" i="1" s="1"/>
  <c r="F163" i="1" s="1"/>
  <c r="S38" i="1"/>
  <c r="V67" i="1" s="1"/>
  <c r="K38" i="1"/>
  <c r="N67" i="1" s="1"/>
  <c r="D131" i="1"/>
  <c r="H130" i="1"/>
  <c r="W40" i="1"/>
  <c r="X82" i="1" s="1"/>
  <c r="X83" i="1" s="1"/>
  <c r="W42" i="1"/>
  <c r="R112" i="1" l="1"/>
  <c r="O111" i="1"/>
  <c r="G108" i="1"/>
  <c r="W111" i="1"/>
  <c r="X111" i="1"/>
  <c r="U112" i="1"/>
  <c r="U111" i="1"/>
  <c r="S112" i="1"/>
  <c r="S111" i="1"/>
  <c r="V112" i="1"/>
  <c r="V111" i="1"/>
  <c r="T112" i="1"/>
  <c r="T111" i="1"/>
  <c r="P111" i="1"/>
  <c r="Q112" i="1"/>
  <c r="K112" i="1"/>
  <c r="K111" i="1"/>
  <c r="M112" i="1"/>
  <c r="M111" i="1"/>
  <c r="L112" i="1"/>
  <c r="L111" i="1"/>
  <c r="R98" i="1"/>
  <c r="S98" i="1" s="1"/>
  <c r="T98" i="1" s="1"/>
  <c r="U98" i="1" s="1"/>
  <c r="O97" i="1"/>
  <c r="K88" i="1"/>
  <c r="Q88" i="1"/>
  <c r="Q89" i="1" s="1"/>
  <c r="X88" i="1"/>
  <c r="X89" i="1" s="1"/>
  <c r="N98" i="1"/>
  <c r="O98" i="1" s="1"/>
  <c r="P98" i="1" s="1"/>
  <c r="Q98" i="1" s="1"/>
  <c r="V98" i="1"/>
  <c r="W98" i="1" s="1"/>
  <c r="X98" i="1" s="1"/>
  <c r="S97" i="1"/>
  <c r="T87" i="1"/>
  <c r="M87" i="1"/>
  <c r="J149" i="1"/>
  <c r="M88" i="1"/>
  <c r="W88" i="1"/>
  <c r="W89" i="1" s="1"/>
  <c r="T88" i="1"/>
  <c r="K87" i="1"/>
  <c r="V88" i="1"/>
  <c r="L88" i="1"/>
  <c r="O88" i="1"/>
  <c r="O89" i="1" s="1"/>
  <c r="S88" i="1"/>
  <c r="L87" i="1"/>
  <c r="V87" i="1"/>
  <c r="U87" i="1"/>
  <c r="P88" i="1"/>
  <c r="P89" i="1" s="1"/>
  <c r="U88" i="1"/>
  <c r="S87" i="1"/>
  <c r="N87" i="1"/>
  <c r="J160" i="1"/>
  <c r="I151" i="1"/>
  <c r="H151" i="1"/>
  <c r="G80" i="1"/>
  <c r="G79" i="1"/>
  <c r="I161" i="1"/>
  <c r="H161" i="1"/>
  <c r="D163" i="1"/>
  <c r="H163" i="1" s="1"/>
  <c r="W82" i="1"/>
  <c r="W83" i="1" s="1"/>
  <c r="H150" i="1"/>
  <c r="G153" i="1"/>
  <c r="H153" i="1" s="1"/>
  <c r="E143" i="1"/>
  <c r="N68" i="1"/>
  <c r="K67" i="1"/>
  <c r="K68" i="1"/>
  <c r="D141" i="1"/>
  <c r="L67" i="1"/>
  <c r="L68" i="1"/>
  <c r="M67" i="1"/>
  <c r="M68" i="1"/>
  <c r="J138" i="1"/>
  <c r="H140" i="1"/>
  <c r="I140" i="1"/>
  <c r="S67" i="1"/>
  <c r="F141" i="1"/>
  <c r="F143" i="1" s="1"/>
  <c r="S68" i="1"/>
  <c r="T67" i="1"/>
  <c r="T68" i="1"/>
  <c r="U67" i="1"/>
  <c r="U68" i="1"/>
  <c r="K66" i="1"/>
  <c r="J139" i="1"/>
  <c r="V68" i="1"/>
  <c r="J130" i="1"/>
  <c r="H131" i="1"/>
  <c r="H134" i="1" s="1"/>
  <c r="I131" i="1"/>
  <c r="D133" i="1"/>
  <c r="H133" i="1" s="1"/>
  <c r="T89" i="1" l="1"/>
  <c r="L89" i="1"/>
  <c r="K89" i="1"/>
  <c r="M89" i="1"/>
  <c r="H154" i="1"/>
  <c r="U89" i="1"/>
  <c r="V89" i="1"/>
  <c r="J151" i="1"/>
  <c r="S89" i="1"/>
  <c r="J161" i="1"/>
  <c r="J163" i="1" s="1"/>
  <c r="H164" i="1"/>
  <c r="J150" i="1"/>
  <c r="I141" i="1"/>
  <c r="H141" i="1"/>
  <c r="J140" i="1"/>
  <c r="D143" i="1"/>
  <c r="H143" i="1" s="1"/>
  <c r="J131" i="1"/>
  <c r="J153" i="1" l="1"/>
  <c r="K149" i="1" s="1"/>
  <c r="E40" i="1" s="1"/>
  <c r="J141" i="1"/>
  <c r="J143" i="1" s="1"/>
  <c r="K141" i="1" s="1"/>
  <c r="G38" i="1" s="1"/>
  <c r="J67" i="1" s="1"/>
  <c r="K161" i="1"/>
  <c r="G42" i="1" s="1"/>
  <c r="K159" i="1"/>
  <c r="E42" i="1" s="1"/>
  <c r="K158" i="1"/>
  <c r="K160" i="1"/>
  <c r="F42" i="1" s="1"/>
  <c r="H144" i="1"/>
  <c r="J133" i="1"/>
  <c r="K151" i="1" l="1"/>
  <c r="G40" i="1" s="1"/>
  <c r="J82" i="1" s="1"/>
  <c r="K148" i="1"/>
  <c r="D40" i="1" s="1"/>
  <c r="K150" i="1"/>
  <c r="F40" i="1" s="1"/>
  <c r="D42" i="1"/>
  <c r="AA42" i="1" s="1"/>
  <c r="K163" i="1"/>
  <c r="J68" i="1"/>
  <c r="K140" i="1"/>
  <c r="F38" i="1" s="1"/>
  <c r="I67" i="1" s="1"/>
  <c r="K139" i="1"/>
  <c r="E38" i="1" s="1"/>
  <c r="K138" i="1"/>
  <c r="D38" i="1" s="1"/>
  <c r="K128" i="1"/>
  <c r="K130" i="1"/>
  <c r="K129" i="1"/>
  <c r="K131" i="1"/>
  <c r="G37" i="1" s="1"/>
  <c r="I82" i="1" l="1"/>
  <c r="H82" i="1"/>
  <c r="G82" i="1"/>
  <c r="K153" i="1"/>
  <c r="J109" i="1"/>
  <c r="J87" i="1"/>
  <c r="I68" i="1"/>
  <c r="H67" i="1"/>
  <c r="AA38" i="1"/>
  <c r="K143" i="1"/>
  <c r="H68" i="1"/>
  <c r="G68" i="1"/>
  <c r="J66" i="1"/>
  <c r="E37" i="1"/>
  <c r="E39" i="1" s="1"/>
  <c r="E41" i="1" s="1"/>
  <c r="F37" i="1"/>
  <c r="I109" i="1" s="1"/>
  <c r="G39" i="1"/>
  <c r="D37" i="1"/>
  <c r="G67" i="1"/>
  <c r="K133" i="1"/>
  <c r="G109" i="1" l="1"/>
  <c r="J106" i="1"/>
  <c r="H109" i="1"/>
  <c r="H87" i="1"/>
  <c r="I87" i="1"/>
  <c r="G87" i="1"/>
  <c r="G41" i="1"/>
  <c r="G43" i="1" s="1"/>
  <c r="J81" i="1"/>
  <c r="J72" i="1"/>
  <c r="AA37" i="1"/>
  <c r="D39" i="1"/>
  <c r="D41" i="1" s="1"/>
  <c r="H66" i="1"/>
  <c r="I66" i="1"/>
  <c r="G66" i="1"/>
  <c r="F39" i="1"/>
  <c r="H81" i="1" s="1"/>
  <c r="H106" i="1" l="1"/>
  <c r="G106" i="1"/>
  <c r="I106" i="1"/>
  <c r="J105" i="1"/>
  <c r="J73" i="1"/>
  <c r="J74" i="1"/>
  <c r="J75" i="1"/>
  <c r="I72" i="1"/>
  <c r="H72" i="1"/>
  <c r="I81" i="1"/>
  <c r="G81" i="1"/>
  <c r="F41" i="1"/>
  <c r="F43" i="1" s="1"/>
  <c r="I105" i="1" s="1"/>
  <c r="AA39" i="1"/>
  <c r="G72" i="1"/>
  <c r="D43" i="1"/>
  <c r="AA40" i="1"/>
  <c r="E43" i="1"/>
  <c r="AA41" i="1" l="1"/>
  <c r="I112" i="1"/>
  <c r="I111" i="1"/>
  <c r="J112" i="1"/>
  <c r="J111" i="1"/>
  <c r="H105" i="1"/>
  <c r="G105" i="1"/>
  <c r="G111" i="1" s="1"/>
  <c r="J98" i="1"/>
  <c r="K98" i="1" s="1"/>
  <c r="L98" i="1" s="1"/>
  <c r="M98" i="1" s="1"/>
  <c r="J88" i="1"/>
  <c r="J89" i="1" s="1"/>
  <c r="H75" i="1"/>
  <c r="G74" i="1"/>
  <c r="I74" i="1"/>
  <c r="G73" i="1"/>
  <c r="H73" i="1"/>
  <c r="H74" i="1"/>
  <c r="I75" i="1"/>
  <c r="G75" i="1"/>
  <c r="I73" i="1"/>
  <c r="AA43" i="1"/>
  <c r="I88" i="1" l="1"/>
  <c r="I89" i="1" s="1"/>
  <c r="G112" i="1"/>
  <c r="H112" i="1"/>
  <c r="H111" i="1"/>
  <c r="G88" i="1"/>
  <c r="G89" i="1" s="1"/>
  <c r="H88" i="1"/>
  <c r="H89" i="1" s="1"/>
  <c r="N108" i="1" l="1"/>
  <c r="O29" i="1"/>
  <c r="O33" i="1" s="1"/>
  <c r="N29" i="1"/>
  <c r="N33" i="1" s="1"/>
  <c r="N25" i="1"/>
  <c r="N27" i="1" s="1"/>
  <c r="N21" i="1" l="1"/>
  <c r="N93" i="1"/>
  <c r="N75" i="1"/>
  <c r="N88" i="1" s="1"/>
  <c r="N89" i="1" s="1"/>
  <c r="N80" i="1"/>
  <c r="R75" i="1"/>
  <c r="R88" i="1" s="1"/>
  <c r="R89" i="1" s="1"/>
  <c r="N105" i="1"/>
  <c r="N112" i="1" l="1"/>
  <c r="N111" i="1"/>
  <c r="N96" i="1"/>
  <c r="J3" i="11"/>
  <c r="J8" i="11" l="1"/>
  <c r="J15" i="11" s="1"/>
  <c r="J14" i="11"/>
</calcChain>
</file>

<file path=xl/sharedStrings.xml><?xml version="1.0" encoding="utf-8"?>
<sst xmlns="http://schemas.openxmlformats.org/spreadsheetml/2006/main" count="311" uniqueCount="169">
  <si>
    <t>Zysk (strata) brutto</t>
  </si>
  <si>
    <t>Zysk (strata) netto</t>
  </si>
  <si>
    <t>Przychody ze sprzedaży</t>
  </si>
  <si>
    <t>Środki pieniężne</t>
  </si>
  <si>
    <t>Aktywa trwałe</t>
  </si>
  <si>
    <t>Aktywa obrotowe</t>
  </si>
  <si>
    <t>Aktywa</t>
  </si>
  <si>
    <t>Kapitał zakładowy</t>
  </si>
  <si>
    <t>Zobowiązania długoterminowe</t>
  </si>
  <si>
    <t>Zobowiązania krótkoterminowe</t>
  </si>
  <si>
    <t>Bilans (sprawozdanie z sytuacji finansowej)</t>
  </si>
  <si>
    <t>Pozostałe aktywa obrotowe</t>
  </si>
  <si>
    <t>Pozostałe aktywa</t>
  </si>
  <si>
    <t>Zobowiązania</t>
  </si>
  <si>
    <t>Pozostałe kapitały</t>
  </si>
  <si>
    <t>Pozostałe pasywa</t>
  </si>
  <si>
    <t>Pasywa</t>
  </si>
  <si>
    <t>Koszty i przychody finansowe, udział w zyskach jednostek stowarzyszonych</t>
  </si>
  <si>
    <t>Koszt własny sprzedaży, pozostałe przychody i koszty operacyjne</t>
  </si>
  <si>
    <t>Podatek dochodowy i podatek odroczony</t>
  </si>
  <si>
    <t>Zysk operacyjny</t>
  </si>
  <si>
    <t>I 2009</t>
  </si>
  <si>
    <t>Pozostałe dane</t>
  </si>
  <si>
    <t>Wartość nominalna akcji</t>
  </si>
  <si>
    <t>Rachunek zysków i strat (sprawozdanie z zysków lub strat)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</si>
  <si>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</si>
  <si>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</si>
  <si>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</si>
  <si>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</si>
  <si>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</si>
  <si>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</si>
  <si>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</si>
  <si>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</si>
  <si>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</si>
  <si>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</si>
  <si>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</si>
  <si>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</si>
  <si>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</si>
  <si>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</si>
  <si>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</si>
  <si>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</si>
  <si>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Kapitał własny</t>
  </si>
  <si>
    <t>wzrost/spadek kapitału:</t>
  </si>
  <si>
    <t>zysk/strata</t>
  </si>
  <si>
    <t>wypłata dywidendy</t>
  </si>
  <si>
    <t>inne</t>
  </si>
  <si>
    <t>sezonowość przychodów</t>
  </si>
  <si>
    <t>I</t>
  </si>
  <si>
    <t>II</t>
  </si>
  <si>
    <t>III</t>
  </si>
  <si>
    <t>IV</t>
  </si>
  <si>
    <t>razem</t>
  </si>
  <si>
    <t>wskaźnik</t>
  </si>
  <si>
    <t>ilość</t>
  </si>
  <si>
    <t>średnia</t>
  </si>
  <si>
    <t>na ostatni dzień kwartału</t>
  </si>
  <si>
    <t>Ceny zamknięcia akcji</t>
  </si>
  <si>
    <t>Razem</t>
  </si>
  <si>
    <t>Wskaźniki płynności</t>
  </si>
  <si>
    <t>płynność III stopnia</t>
  </si>
  <si>
    <t>płynność I stopnia</t>
  </si>
  <si>
    <t>Wskaźniki obrotowości</t>
  </si>
  <si>
    <t>obrót aktywami krótkoterminowymi z wyjątkiem środków pieniężnych</t>
  </si>
  <si>
    <t>obrót zobowiązaniani krótkoterminowymi</t>
  </si>
  <si>
    <t>obrót kapitałem w obrocie</t>
  </si>
  <si>
    <t>Wskaźniki zadłużenia</t>
  </si>
  <si>
    <t>Dżwignie</t>
  </si>
  <si>
    <t>Dźwignia finansowa zmodyfikowana</t>
  </si>
  <si>
    <t>Dźwignia operacyjna zmodyfikowana</t>
  </si>
  <si>
    <t>stopa zadłużenia aktywów</t>
  </si>
  <si>
    <t>stopa zadłużenia kapitałów</t>
  </si>
  <si>
    <t>Dźwignia łączna zmodyfikowana</t>
  </si>
  <si>
    <t>Wskaźniki rynkowe</t>
  </si>
  <si>
    <t>Wartość księgowa na akcję</t>
  </si>
  <si>
    <t>Zysk na akcję</t>
  </si>
  <si>
    <t>Kapitalizacja (wartość rynkowa)</t>
  </si>
  <si>
    <t>Stopa wypłat dywidendy</t>
  </si>
  <si>
    <t>Cena do wartości księgowej</t>
  </si>
  <si>
    <t>Wskaźnik na skłonność do upadłości (Z-Score zmodyfikowany)</t>
  </si>
  <si>
    <t>Kapitał w obrocie/aktywa</t>
  </si>
  <si>
    <t>Zysk operacyjny/aktywa</t>
  </si>
  <si>
    <t>Kapitalizacja/zobowiązania</t>
  </si>
  <si>
    <t>Sprzedaż/aktywa</t>
  </si>
  <si>
    <t>Struktura ceny akcji</t>
  </si>
  <si>
    <t>Majątek pomniejszony o zobowiązania krótkoterminowe</t>
  </si>
  <si>
    <t>Dywidenda na akcję</t>
  </si>
  <si>
    <t>Wartość firmy</t>
  </si>
  <si>
    <t>Kurs akcji</t>
  </si>
  <si>
    <t>kapitał obrotowy na ostatni dzień kwartału</t>
  </si>
  <si>
    <t>Dni w okresie:</t>
  </si>
  <si>
    <t>styczeń</t>
  </si>
  <si>
    <t>luty</t>
  </si>
  <si>
    <t>luty przestępny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</si>
  <si>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</si>
  <si>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</si>
  <si>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</si>
  <si>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</si>
  <si>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</si>
  <si>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</si>
  <si>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</si>
  <si>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</si>
  <si>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</si>
  <si>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</si>
  <si>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Dni</t>
  </si>
  <si>
    <t>QI</t>
  </si>
  <si>
    <t>QII</t>
  </si>
  <si>
    <t>QIII</t>
  </si>
  <si>
    <t>QIV</t>
  </si>
  <si>
    <t>QI + QII</t>
  </si>
  <si>
    <t>QII + QIII</t>
  </si>
  <si>
    <t>QIII + QIV</t>
  </si>
  <si>
    <t>QIV + QI</t>
  </si>
  <si>
    <t>QI Prz +QII</t>
  </si>
  <si>
    <t>QIV + QI Prz</t>
  </si>
  <si>
    <t>QI + QII + QIII</t>
  </si>
  <si>
    <t>QI Prz + QII + QIII</t>
  </si>
  <si>
    <t>QII + QIII + QIV</t>
  </si>
  <si>
    <t>QIII + QIV + QI</t>
  </si>
  <si>
    <t>QIV +QI + QII</t>
  </si>
  <si>
    <t>QIV + QI Prz + QII</t>
  </si>
  <si>
    <t>QIII + QIV + QI Prz</t>
  </si>
  <si>
    <t>QI Prz</t>
  </si>
  <si>
    <t>QI + QII + QIII + QIV</t>
  </si>
  <si>
    <t>QI Prz + QII + QIII + QIV</t>
  </si>
  <si>
    <t>tys. zł</t>
  </si>
  <si>
    <t>miara</t>
  </si>
  <si>
    <t>mln sztuk</t>
  </si>
  <si>
    <t>Ilość akcji</t>
  </si>
  <si>
    <t>zł</t>
  </si>
  <si>
    <t>ile razy</t>
  </si>
  <si>
    <t>dni</t>
  </si>
  <si>
    <t>I 2008</t>
  </si>
  <si>
    <t>II 2008</t>
  </si>
  <si>
    <t>III 2008</t>
  </si>
  <si>
    <t>IV 2008</t>
  </si>
  <si>
    <t>spraw-dzenie</t>
  </si>
  <si>
    <t>sezonowość kosztu własnego sprzedaży + przychody i koszty operacyjne</t>
  </si>
  <si>
    <t>kapitał obrotowy średni w okresie</t>
  </si>
  <si>
    <t>Kapitał obcy długoterminowy</t>
  </si>
  <si>
    <t>Zyskowność operacyjna sprzedaży</t>
  </si>
  <si>
    <t>Zyskowność netto sprzedaży</t>
  </si>
  <si>
    <t>Zyskowność netto aktywów</t>
  </si>
  <si>
    <t>%</t>
  </si>
  <si>
    <t>Sezonowość koszty i przychody finansowe</t>
  </si>
  <si>
    <t>Sezonowość podatek dochodowy i odroczony</t>
  </si>
  <si>
    <t>zysk operacyjny za cztery kwartały</t>
  </si>
  <si>
    <t>PKFJS za cztery kwartały</t>
  </si>
  <si>
    <t>pokrycie przychodów i kosztów finansowych oraz dochodów uzyskanych od jedniostek wycenianych metodą praw własności zyskiem operacyjnym</t>
  </si>
  <si>
    <t>Zyskowność netto kapitału</t>
  </si>
  <si>
    <t>Wskaźniki zyskowności (rentowności)</t>
  </si>
  <si>
    <t>zł/akcja</t>
  </si>
  <si>
    <t>średnioroczna</t>
  </si>
  <si>
    <t>Cena do zysku</t>
  </si>
  <si>
    <t>Stopa dywidendy historyczna</t>
  </si>
  <si>
    <t>Stopa dywidendy bieżąca</t>
  </si>
  <si>
    <t>bd</t>
  </si>
  <si>
    <t>Kapitał własny - zysk netto/aktywa</t>
  </si>
  <si>
    <t>Wskaźnik Z-Score</t>
  </si>
  <si>
    <t>Wskaźnik Z-Score gdyby nie była spółką publiczną</t>
  </si>
  <si>
    <t>Kapitalizacja/zobowiązania gdyby nie była spółką publiczną</t>
  </si>
  <si>
    <t>Dywidenda</t>
  </si>
  <si>
    <t>Sprawdzenie</t>
  </si>
  <si>
    <t>Zysk (strata) netto akcjonariuszy jednostki dominującej</t>
  </si>
  <si>
    <t>Kapitał własny przypadający akcjonariuszom jednostki dominującej</t>
  </si>
  <si>
    <t>emisja akcji (wartość nominalna)</t>
  </si>
  <si>
    <t xml:space="preserve">Sezonowość zysk netto </t>
  </si>
  <si>
    <t>Wartość księgowa</t>
  </si>
  <si>
    <t>Kurs akcji (wartość rynkowa)</t>
  </si>
  <si>
    <t>Dane finansowe LPP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</si>
</sst>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0" xfId="0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2" xfId="0" applyNumberFormat="1" applyBorder="1"/>
    <xf numFmtId="164" fontId="0" fillId="0" borderId="0" xfId="0" applyNumberFormat="1" applyBorder="1"/>
    <xf numFmtId="0" fontId="0" fillId="0" borderId="2" xfId="0" applyBorder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Border="1"/>
    <xf numFmtId="10" fontId="0" fillId="0" borderId="1" xfId="0" applyNumberFormat="1" applyBorder="1"/>
    <xf numFmtId="164" fontId="0" fillId="0" borderId="0" xfId="0" applyNumberFormat="1"/>
    <xf numFmtId="164" fontId="0" fillId="2" borderId="1" xfId="0" applyNumberFormat="1" applyFill="1" applyBorder="1"/>
    <xf numFmtId="10" fontId="0" fillId="0" borderId="0" xfId="0" applyNumberFormat="1"/>
    <xf numFmtId="4" fontId="0" fillId="0" borderId="1" xfId="0" applyNumberFormat="1" applyBorder="1"/>
    <xf numFmtId="165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165" fontId="0" fillId="0" borderId="0" xfId="0" applyNumberFormat="1"/>
    <xf numFmtId="0" fontId="0" fillId="0" borderId="1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Fill="1" applyBorder="1"/>
    <xf numFmtId="0" fontId="1" fillId="0" borderId="0" xfId="0" applyFont="1" applyAlignment="1">
      <alignment horizontal="center" vertical="center"/>
    </xf>
    <xf numFmtId="164" fontId="0" fillId="2" borderId="3" xfId="0" applyNumberFormat="1" applyFill="1" applyBorder="1"/>
    <xf numFmtId="164" fontId="0" fillId="2" borderId="4" xfId="0" applyNumberFormat="1" applyFill="1" applyBorder="1"/>
    <xf numFmtId="0" fontId="0" fillId="0" borderId="0" xfId="0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4" fontId="0" fillId="2" borderId="1" xfId="0" applyNumberFormat="1" applyFill="1" applyBorder="1"/>
    <xf numFmtId="165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/>
    <xf numFmtId="4" fontId="0" fillId="0" borderId="1" xfId="0" applyNumberFormat="1" applyFont="1" applyBorder="1"/>
    <xf numFmtId="0" fontId="2" fillId="0" borderId="1" xfId="0" applyFont="1" applyBorder="1" applyAlignment="1">
      <alignment wrapText="1"/>
    </xf>
    <xf numFmtId="8" fontId="0" fillId="0" borderId="1" xfId="0" applyNumberFormat="1" applyBorder="1"/>
    <xf numFmtId="0" fontId="0" fillId="0" borderId="1" xfId="0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/>
    <xf numFmtId="0" fontId="2" fillId="2" borderId="1" xfId="0" applyFont="1" applyFill="1" applyBorder="1"/>
    <xf numFmtId="0" fontId="2" fillId="0" borderId="0" xfId="0" applyFont="1" applyFill="1"/>
    <xf numFmtId="164" fontId="2" fillId="2" borderId="1" xfId="0" applyNumberFormat="1" applyFont="1" applyFill="1" applyBorder="1"/>
    <xf numFmtId="165" fontId="0" fillId="0" borderId="1" xfId="0" applyNumberFormat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 baseline="0"/>
              <a:t>LPP - kurs i wartość księgowa na akcję</a:t>
            </a:r>
            <a:endParaRPr lang="pl-PL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253958880139982"/>
          <c:y val="0.17171296296296298"/>
          <c:w val="0.72000853018372701"/>
          <c:h val="0.53783136482939631"/>
        </c:manualLayout>
      </c:layout>
      <c:area3DChart>
        <c:grouping val="standard"/>
        <c:varyColors val="0"/>
        <c:ser>
          <c:idx val="0"/>
          <c:order val="0"/>
          <c:tx>
            <c:strRef>
              <c:f>SCA!$B$13</c:f>
              <c:strCache>
                <c:ptCount val="1"/>
                <c:pt idx="0">
                  <c:v>Dywidenda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cat>
            <c:strRef>
              <c:f>SCA!$C$12:$T$12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SCA!$C$13:$T$13</c:f>
              <c:numCache>
                <c:formatCode>"zł"#,##0.00_);[Red]\("zł"#,##0.00\)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76.86</c:v>
                </c:pt>
                <c:pt idx="12">
                  <c:v>76.86</c:v>
                </c:pt>
                <c:pt idx="13">
                  <c:v>76.86</c:v>
                </c:pt>
                <c:pt idx="14">
                  <c:v>76.86</c:v>
                </c:pt>
                <c:pt idx="15">
                  <c:v>77.36</c:v>
                </c:pt>
                <c:pt idx="16">
                  <c:v>77.36</c:v>
                </c:pt>
                <c:pt idx="17">
                  <c:v>77.36</c:v>
                </c:pt>
              </c:numCache>
            </c:numRef>
          </c:val>
        </c:ser>
        <c:ser>
          <c:idx val="1"/>
          <c:order val="1"/>
          <c:tx>
            <c:strRef>
              <c:f>SCA!$B$14</c:f>
              <c:strCache>
                <c:ptCount val="1"/>
                <c:pt idx="0">
                  <c:v>Wartość księgowa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cat>
            <c:strRef>
              <c:f>SCA!$C$12:$T$12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SCA!$C$14:$T$14</c:f>
              <c:numCache>
                <c:formatCode>"zł"#,##0.00_);[Red]\("zł"#,##0.00\)</c:formatCode>
                <c:ptCount val="18"/>
                <c:pt idx="0">
                  <c:v>322.99142857142857</c:v>
                </c:pt>
                <c:pt idx="1">
                  <c:v>316.16457142857143</c:v>
                </c:pt>
                <c:pt idx="2">
                  <c:v>334.76971428571426</c:v>
                </c:pt>
                <c:pt idx="3">
                  <c:v>343.892</c:v>
                </c:pt>
                <c:pt idx="4">
                  <c:v>391.76514285714285</c:v>
                </c:pt>
                <c:pt idx="5">
                  <c:v>389.52800000000002</c:v>
                </c:pt>
                <c:pt idx="6">
                  <c:v>359.12114285714284</c:v>
                </c:pt>
                <c:pt idx="7">
                  <c:v>369.74685714285715</c:v>
                </c:pt>
                <c:pt idx="8">
                  <c:v>420.88342857142857</c:v>
                </c:pt>
                <c:pt idx="9">
                  <c:v>434.8477272727273</c:v>
                </c:pt>
                <c:pt idx="10">
                  <c:v>393.02159090909089</c:v>
                </c:pt>
                <c:pt idx="11">
                  <c:v>435.21516853932582</c:v>
                </c:pt>
                <c:pt idx="12">
                  <c:v>510.78314606741571</c:v>
                </c:pt>
                <c:pt idx="13">
                  <c:v>533.02471910112365</c:v>
                </c:pt>
                <c:pt idx="14">
                  <c:v>498.57921348314602</c:v>
                </c:pt>
                <c:pt idx="15">
                  <c:v>581.33770491803273</c:v>
                </c:pt>
                <c:pt idx="16">
                  <c:v>662.35792349726773</c:v>
                </c:pt>
                <c:pt idx="17">
                  <c:v>673.43551912568296</c:v>
                </c:pt>
              </c:numCache>
            </c:numRef>
          </c:val>
        </c:ser>
        <c:ser>
          <c:idx val="2"/>
          <c:order val="2"/>
          <c:tx>
            <c:strRef>
              <c:f>SCA!$B$15</c:f>
              <c:strCache>
                <c:ptCount val="1"/>
                <c:pt idx="0">
                  <c:v>Kurs akcji (wartość rynkowa)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cat>
            <c:strRef>
              <c:f>SCA!$C$12:$T$12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SCA!$C$15:$T$15</c:f>
              <c:numCache>
                <c:formatCode>"zł"#,##0.00_);[Red]\("zł"#,##0.00\)</c:formatCode>
                <c:ptCount val="18"/>
                <c:pt idx="0">
                  <c:v>1140</c:v>
                </c:pt>
                <c:pt idx="1">
                  <c:v>959.5</c:v>
                </c:pt>
                <c:pt idx="2">
                  <c:v>1175</c:v>
                </c:pt>
                <c:pt idx="3">
                  <c:v>1525</c:v>
                </c:pt>
                <c:pt idx="4">
                  <c:v>1590</c:v>
                </c:pt>
                <c:pt idx="5">
                  <c:v>1841.5</c:v>
                </c:pt>
                <c:pt idx="6">
                  <c:v>1722</c:v>
                </c:pt>
                <c:pt idx="7">
                  <c:v>1835</c:v>
                </c:pt>
                <c:pt idx="8">
                  <c:v>2165</c:v>
                </c:pt>
                <c:pt idx="9">
                  <c:v>2060</c:v>
                </c:pt>
                <c:pt idx="10">
                  <c:v>2240</c:v>
                </c:pt>
                <c:pt idx="11">
                  <c:v>1975</c:v>
                </c:pt>
                <c:pt idx="12">
                  <c:v>2016.0000000000002</c:v>
                </c:pt>
                <c:pt idx="13">
                  <c:v>2635</c:v>
                </c:pt>
                <c:pt idx="14">
                  <c:v>3240.5</c:v>
                </c:pt>
                <c:pt idx="15">
                  <c:v>3400</c:v>
                </c:pt>
                <c:pt idx="16">
                  <c:v>4550.0000000000009</c:v>
                </c:pt>
                <c:pt idx="17">
                  <c:v>5650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754680"/>
        <c:axId val="275755072"/>
        <c:axId val="277196784"/>
      </c:area3DChart>
      <c:catAx>
        <c:axId val="275754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5755072"/>
        <c:crosses val="autoZero"/>
        <c:auto val="1"/>
        <c:lblAlgn val="ctr"/>
        <c:lblOffset val="100"/>
        <c:noMultiLvlLbl val="0"/>
      </c:catAx>
      <c:valAx>
        <c:axId val="27575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zł&quot;#,##0.00_);[Red]\(&quot;zł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5754680"/>
        <c:crosses val="autoZero"/>
        <c:crossBetween val="midCat"/>
      </c:valAx>
      <c:serAx>
        <c:axId val="277196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5755072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LPP - struktura ceny akcji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SCA!$B$3</c:f>
              <c:strCache>
                <c:ptCount val="1"/>
                <c:pt idx="0">
                  <c:v>Kapitał własny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SCA!$C$3:$T$3</c:f>
              <c:numCache>
                <c:formatCode>"zł"#,##0.00_);[Red]\("zł"#,##0.00\)</c:formatCode>
                <c:ptCount val="18"/>
                <c:pt idx="0">
                  <c:v>322.99142857142857</c:v>
                </c:pt>
                <c:pt idx="1">
                  <c:v>316.16457142857143</c:v>
                </c:pt>
                <c:pt idx="2">
                  <c:v>334.76971428571426</c:v>
                </c:pt>
                <c:pt idx="3">
                  <c:v>343.892</c:v>
                </c:pt>
                <c:pt idx="4">
                  <c:v>391.76514285714285</c:v>
                </c:pt>
                <c:pt idx="5">
                  <c:v>389.52800000000002</c:v>
                </c:pt>
                <c:pt idx="6">
                  <c:v>359.12114285714284</c:v>
                </c:pt>
                <c:pt idx="7">
                  <c:v>369.74685714285715</c:v>
                </c:pt>
                <c:pt idx="8">
                  <c:v>420.88342857142857</c:v>
                </c:pt>
                <c:pt idx="9">
                  <c:v>434.8477272727273</c:v>
                </c:pt>
                <c:pt idx="10">
                  <c:v>393.02159090909089</c:v>
                </c:pt>
                <c:pt idx="11">
                  <c:v>435.21516853932582</c:v>
                </c:pt>
                <c:pt idx="12">
                  <c:v>510.78314606741571</c:v>
                </c:pt>
                <c:pt idx="13">
                  <c:v>533.02471910112365</c:v>
                </c:pt>
                <c:pt idx="14" formatCode="#\ ##0.00_ ;[Red]\-#\ ##0.00\ ">
                  <c:v>498.57921348314602</c:v>
                </c:pt>
                <c:pt idx="15" formatCode="#\ ##0.00_ ;[Red]\-#\ ##0.00\ ">
                  <c:v>581.33770491803273</c:v>
                </c:pt>
                <c:pt idx="16" formatCode="#\ ##0.00_ ;[Red]\-#\ ##0.00\ ">
                  <c:v>662.35792349726773</c:v>
                </c:pt>
                <c:pt idx="17" formatCode="#\ ##0.00_ ;[Red]\-#\ ##0.00\ ">
                  <c:v>673.43551912568296</c:v>
                </c:pt>
              </c:numCache>
            </c:numRef>
          </c:val>
        </c:ser>
        <c:ser>
          <c:idx val="1"/>
          <c:order val="1"/>
          <c:tx>
            <c:strRef>
              <c:f>SCA!$B$4</c:f>
              <c:strCache>
                <c:ptCount val="1"/>
                <c:pt idx="0">
                  <c:v>Kapitał obcy długoterminowy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SCA!$C$4:$T$4</c:f>
              <c:numCache>
                <c:formatCode>"zł"#,##0.00_);[Red]\("zł"#,##0.00\)</c:formatCode>
                <c:ptCount val="18"/>
                <c:pt idx="0">
                  <c:v>184.18057142857143</c:v>
                </c:pt>
                <c:pt idx="1">
                  <c:v>186.99828571428571</c:v>
                </c:pt>
                <c:pt idx="2">
                  <c:v>158.26285714285714</c:v>
                </c:pt>
                <c:pt idx="3">
                  <c:v>218.05542857142859</c:v>
                </c:pt>
                <c:pt idx="4">
                  <c:v>198.7</c:v>
                </c:pt>
                <c:pt idx="5">
                  <c:v>196.39828571428572</c:v>
                </c:pt>
                <c:pt idx="6">
                  <c:v>177.548</c:v>
                </c:pt>
                <c:pt idx="7">
                  <c:v>176.93085714285712</c:v>
                </c:pt>
                <c:pt idx="8">
                  <c:v>160.70342857142859</c:v>
                </c:pt>
                <c:pt idx="9">
                  <c:v>149.16704545454544</c:v>
                </c:pt>
                <c:pt idx="10">
                  <c:v>131.35227272727275</c:v>
                </c:pt>
                <c:pt idx="11">
                  <c:v>114.52247191011236</c:v>
                </c:pt>
                <c:pt idx="12">
                  <c:v>50.2</c:v>
                </c:pt>
                <c:pt idx="13">
                  <c:v>48.897752808988763</c:v>
                </c:pt>
                <c:pt idx="14" formatCode="#\ ##0.00_ ;[Red]\-#\ ##0.00\ ">
                  <c:v>84.36011235955057</c:v>
                </c:pt>
                <c:pt idx="15" formatCode="#\ ##0.00_ ;[Red]\-#\ ##0.00\ ">
                  <c:v>80.754644808743166</c:v>
                </c:pt>
                <c:pt idx="16" formatCode="#\ ##0.00_ ;[Red]\-#\ ##0.00\ ">
                  <c:v>71.577049180327876</c:v>
                </c:pt>
                <c:pt idx="17" formatCode="#\ ##0.00_ ;[Red]\-#\ ##0.00\ ">
                  <c:v>107.15027322404372</c:v>
                </c:pt>
              </c:numCache>
            </c:numRef>
          </c:val>
        </c:ser>
        <c:ser>
          <c:idx val="2"/>
          <c:order val="2"/>
          <c:tx>
            <c:strRef>
              <c:f>SCA!$B$5</c:f>
              <c:strCache>
                <c:ptCount val="1"/>
                <c:pt idx="0">
                  <c:v>Dywidenda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SCA!$C$5:$T$5</c:f>
              <c:numCache>
                <c:formatCode>"zł"#,##0.00_);[Red]\("zł"#,##0.00\)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76.86</c:v>
                </c:pt>
                <c:pt idx="12">
                  <c:v>76.86</c:v>
                </c:pt>
                <c:pt idx="13">
                  <c:v>76.86</c:v>
                </c:pt>
                <c:pt idx="14" formatCode="#\ ##0.00_ ;[Red]\-#\ ##0.00\ ">
                  <c:v>76.86</c:v>
                </c:pt>
                <c:pt idx="15" formatCode="#\ ##0.00_ ;[Red]\-#\ ##0.00\ ">
                  <c:v>77.36</c:v>
                </c:pt>
                <c:pt idx="16" formatCode="#\ ##0.00_ ;[Red]\-#\ ##0.00\ ">
                  <c:v>77.36</c:v>
                </c:pt>
                <c:pt idx="17" formatCode="#\ ##0.00_ ;[Red]\-#\ ##0.00\ ">
                  <c:v>77.36</c:v>
                </c:pt>
              </c:numCache>
            </c:numRef>
          </c:val>
        </c:ser>
        <c:ser>
          <c:idx val="3"/>
          <c:order val="3"/>
          <c:tx>
            <c:strRef>
              <c:f>SCA!$B$6</c:f>
              <c:strCache>
                <c:ptCount val="1"/>
                <c:pt idx="0">
                  <c:v>Wartość firmy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SCA!$C$6:$T$6</c:f>
              <c:numCache>
                <c:formatCode>"zł"#,##0.00_);[Red]\("zł"#,##0.00\)</c:formatCode>
                <c:ptCount val="18"/>
                <c:pt idx="0">
                  <c:v>632.82799999999997</c:v>
                </c:pt>
                <c:pt idx="1">
                  <c:v>456.33714285714285</c:v>
                </c:pt>
                <c:pt idx="2">
                  <c:v>681.96742857142863</c:v>
                </c:pt>
                <c:pt idx="3">
                  <c:v>963.05257142857147</c:v>
                </c:pt>
                <c:pt idx="4">
                  <c:v>999.53485714285716</c:v>
                </c:pt>
                <c:pt idx="5">
                  <c:v>1255.5737142857142</c:v>
                </c:pt>
                <c:pt idx="6">
                  <c:v>1185.3308571428572</c:v>
                </c:pt>
                <c:pt idx="7">
                  <c:v>1238.3222857142857</c:v>
                </c:pt>
                <c:pt idx="8">
                  <c:v>1533.4131428571427</c:v>
                </c:pt>
                <c:pt idx="9">
                  <c:v>1425.9852272727273</c:v>
                </c:pt>
                <c:pt idx="10">
                  <c:v>1665.6261363636363</c:v>
                </c:pt>
                <c:pt idx="11">
                  <c:v>1348.4023595505619</c:v>
                </c:pt>
                <c:pt idx="12">
                  <c:v>1378.1568539325845</c:v>
                </c:pt>
                <c:pt idx="13">
                  <c:v>1976.2175280898875</c:v>
                </c:pt>
                <c:pt idx="14" formatCode="#\ ##0.00_ ;[Red]\-#\ ##0.00\ ">
                  <c:v>2580.7006741573032</c:v>
                </c:pt>
                <c:pt idx="15" formatCode="#\ ##0.00_ ;[Red]\-#\ ##0.00\ ">
                  <c:v>2660.547650273224</c:v>
                </c:pt>
                <c:pt idx="16" formatCode="#\ ##0.00_ ;[Red]\-#\ ##0.00\ ">
                  <c:v>3738.7050273224049</c:v>
                </c:pt>
                <c:pt idx="17" formatCode="#\ ##0.00_ ;[Red]\-#\ ##0.00\ ">
                  <c:v>4792.0542076502734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755464"/>
        <c:axId val="275756640"/>
      </c:areaChart>
      <c:catAx>
        <c:axId val="275755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5756640"/>
        <c:crosses val="autoZero"/>
        <c:auto val="1"/>
        <c:lblAlgn val="ctr"/>
        <c:lblOffset val="100"/>
        <c:noMultiLvlLbl val="0"/>
      </c:catAx>
      <c:valAx>
        <c:axId val="27575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zł&quot;#,##0.00_);[Red]\(&quot;zł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5755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 baseline="0"/>
              <a:t>LPP - struktura ceny akcji</a:t>
            </a:r>
            <a:endParaRPr lang="pl-PL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SCA!$B$3</c:f>
              <c:strCache>
                <c:ptCount val="1"/>
                <c:pt idx="0">
                  <c:v>Kapitał własny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SCA!$C$3:$T$3</c:f>
              <c:numCache>
                <c:formatCode>"zł"#,##0.00_);[Red]\("zł"#,##0.00\)</c:formatCode>
                <c:ptCount val="18"/>
                <c:pt idx="0">
                  <c:v>322.99142857142857</c:v>
                </c:pt>
                <c:pt idx="1">
                  <c:v>316.16457142857143</c:v>
                </c:pt>
                <c:pt idx="2">
                  <c:v>334.76971428571426</c:v>
                </c:pt>
                <c:pt idx="3">
                  <c:v>343.892</c:v>
                </c:pt>
                <c:pt idx="4">
                  <c:v>391.76514285714285</c:v>
                </c:pt>
                <c:pt idx="5">
                  <c:v>389.52800000000002</c:v>
                </c:pt>
                <c:pt idx="6">
                  <c:v>359.12114285714284</c:v>
                </c:pt>
                <c:pt idx="7">
                  <c:v>369.74685714285715</c:v>
                </c:pt>
                <c:pt idx="8">
                  <c:v>420.88342857142857</c:v>
                </c:pt>
                <c:pt idx="9">
                  <c:v>434.8477272727273</c:v>
                </c:pt>
                <c:pt idx="10">
                  <c:v>393.02159090909089</c:v>
                </c:pt>
                <c:pt idx="11">
                  <c:v>435.21516853932582</c:v>
                </c:pt>
                <c:pt idx="12">
                  <c:v>510.78314606741571</c:v>
                </c:pt>
                <c:pt idx="13">
                  <c:v>533.02471910112365</c:v>
                </c:pt>
                <c:pt idx="14" formatCode="#\ ##0.00_ ;[Red]\-#\ ##0.00\ ">
                  <c:v>498.57921348314602</c:v>
                </c:pt>
                <c:pt idx="15" formatCode="#\ ##0.00_ ;[Red]\-#\ ##0.00\ ">
                  <c:v>581.33770491803273</c:v>
                </c:pt>
                <c:pt idx="16" formatCode="#\ ##0.00_ ;[Red]\-#\ ##0.00\ ">
                  <c:v>662.35792349726773</c:v>
                </c:pt>
                <c:pt idx="17" formatCode="#\ ##0.00_ ;[Red]\-#\ ##0.00\ ">
                  <c:v>673.43551912568296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SCA!$B$4</c:f>
              <c:strCache>
                <c:ptCount val="1"/>
                <c:pt idx="0">
                  <c:v>Kapitał obcy długoterminowy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SCA!$C$4:$T$4</c:f>
              <c:numCache>
                <c:formatCode>"zł"#,##0.00_);[Red]\("zł"#,##0.00\)</c:formatCode>
                <c:ptCount val="18"/>
                <c:pt idx="0">
                  <c:v>184.18057142857143</c:v>
                </c:pt>
                <c:pt idx="1">
                  <c:v>186.99828571428571</c:v>
                </c:pt>
                <c:pt idx="2">
                  <c:v>158.26285714285714</c:v>
                </c:pt>
                <c:pt idx="3">
                  <c:v>218.05542857142859</c:v>
                </c:pt>
                <c:pt idx="4">
                  <c:v>198.7</c:v>
                </c:pt>
                <c:pt idx="5">
                  <c:v>196.39828571428572</c:v>
                </c:pt>
                <c:pt idx="6">
                  <c:v>177.548</c:v>
                </c:pt>
                <c:pt idx="7">
                  <c:v>176.93085714285712</c:v>
                </c:pt>
                <c:pt idx="8">
                  <c:v>160.70342857142859</c:v>
                </c:pt>
                <c:pt idx="9">
                  <c:v>149.16704545454544</c:v>
                </c:pt>
                <c:pt idx="10">
                  <c:v>131.35227272727275</c:v>
                </c:pt>
                <c:pt idx="11">
                  <c:v>114.52247191011236</c:v>
                </c:pt>
                <c:pt idx="12">
                  <c:v>50.2</c:v>
                </c:pt>
                <c:pt idx="13">
                  <c:v>48.897752808988763</c:v>
                </c:pt>
                <c:pt idx="14" formatCode="#\ ##0.00_ ;[Red]\-#\ ##0.00\ ">
                  <c:v>84.36011235955057</c:v>
                </c:pt>
                <c:pt idx="15" formatCode="#\ ##0.00_ ;[Red]\-#\ ##0.00\ ">
                  <c:v>80.754644808743166</c:v>
                </c:pt>
                <c:pt idx="16" formatCode="#\ ##0.00_ ;[Red]\-#\ ##0.00\ ">
                  <c:v>71.577049180327876</c:v>
                </c:pt>
                <c:pt idx="17" formatCode="#\ ##0.00_ ;[Red]\-#\ ##0.00\ ">
                  <c:v>107.15027322404372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SCA!$B$5</c:f>
              <c:strCache>
                <c:ptCount val="1"/>
                <c:pt idx="0">
                  <c:v>Dywidenda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SCA!$C$5:$T$5</c:f>
              <c:numCache>
                <c:formatCode>"zł"#,##0.00_);[Red]\("zł"#,##0.00\)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76.86</c:v>
                </c:pt>
                <c:pt idx="12">
                  <c:v>76.86</c:v>
                </c:pt>
                <c:pt idx="13">
                  <c:v>76.86</c:v>
                </c:pt>
                <c:pt idx="14" formatCode="#\ ##0.00_ ;[Red]\-#\ ##0.00\ ">
                  <c:v>76.86</c:v>
                </c:pt>
                <c:pt idx="15" formatCode="#\ ##0.00_ ;[Red]\-#\ ##0.00\ ">
                  <c:v>77.36</c:v>
                </c:pt>
                <c:pt idx="16" formatCode="#\ ##0.00_ ;[Red]\-#\ ##0.00\ ">
                  <c:v>77.36</c:v>
                </c:pt>
                <c:pt idx="17" formatCode="#\ ##0.00_ ;[Red]\-#\ ##0.00\ ">
                  <c:v>77.36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SCA!$B$6</c:f>
              <c:strCache>
                <c:ptCount val="1"/>
                <c:pt idx="0">
                  <c:v>Wartość firmy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SCA!$C$6:$T$6</c:f>
              <c:numCache>
                <c:formatCode>"zł"#,##0.00_);[Red]\("zł"#,##0.00\)</c:formatCode>
                <c:ptCount val="18"/>
                <c:pt idx="0">
                  <c:v>632.82799999999997</c:v>
                </c:pt>
                <c:pt idx="1">
                  <c:v>456.33714285714285</c:v>
                </c:pt>
                <c:pt idx="2">
                  <c:v>681.96742857142863</c:v>
                </c:pt>
                <c:pt idx="3">
                  <c:v>963.05257142857147</c:v>
                </c:pt>
                <c:pt idx="4">
                  <c:v>999.53485714285716</c:v>
                </c:pt>
                <c:pt idx="5">
                  <c:v>1255.5737142857142</c:v>
                </c:pt>
                <c:pt idx="6">
                  <c:v>1185.3308571428572</c:v>
                </c:pt>
                <c:pt idx="7">
                  <c:v>1238.3222857142857</c:v>
                </c:pt>
                <c:pt idx="8">
                  <c:v>1533.4131428571427</c:v>
                </c:pt>
                <c:pt idx="9">
                  <c:v>1425.9852272727273</c:v>
                </c:pt>
                <c:pt idx="10">
                  <c:v>1665.6261363636363</c:v>
                </c:pt>
                <c:pt idx="11">
                  <c:v>1348.4023595505619</c:v>
                </c:pt>
                <c:pt idx="12">
                  <c:v>1378.1568539325845</c:v>
                </c:pt>
                <c:pt idx="13">
                  <c:v>1976.2175280898875</c:v>
                </c:pt>
                <c:pt idx="14" formatCode="#\ ##0.00_ ;[Red]\-#\ ##0.00\ ">
                  <c:v>2580.7006741573032</c:v>
                </c:pt>
                <c:pt idx="15" formatCode="#\ ##0.00_ ;[Red]\-#\ ##0.00\ ">
                  <c:v>2660.547650273224</c:v>
                </c:pt>
                <c:pt idx="16" formatCode="#\ ##0.00_ ;[Red]\-#\ ##0.00\ ">
                  <c:v>3738.7050273224049</c:v>
                </c:pt>
                <c:pt idx="17" formatCode="#\ ##0.00_ ;[Red]\-#\ ##0.00\ ">
                  <c:v>4792.0542076502734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749976"/>
        <c:axId val="275755856"/>
      </c:lineChart>
      <c:catAx>
        <c:axId val="27574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5755856"/>
        <c:crosses val="autoZero"/>
        <c:auto val="1"/>
        <c:lblAlgn val="ctr"/>
        <c:lblOffset val="100"/>
        <c:noMultiLvlLbl val="0"/>
      </c:catAx>
      <c:valAx>
        <c:axId val="27575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zł&quot;#,##0.00_);[Red]\(&quot;zł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574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15</xdr:row>
      <xdr:rowOff>176212</xdr:rowOff>
    </xdr:from>
    <xdr:to>
      <xdr:col>10</xdr:col>
      <xdr:colOff>523875</xdr:colOff>
      <xdr:row>30</xdr:row>
      <xdr:rowOff>61912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533400</xdr:colOff>
      <xdr:row>15</xdr:row>
      <xdr:rowOff>147637</xdr:rowOff>
    </xdr:from>
    <xdr:to>
      <xdr:col>19</xdr:col>
      <xdr:colOff>228600</xdr:colOff>
      <xdr:row>30</xdr:row>
      <xdr:rowOff>33337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533400</xdr:colOff>
      <xdr:row>31</xdr:row>
      <xdr:rowOff>14287</xdr:rowOff>
    </xdr:from>
    <xdr:to>
      <xdr:col>19</xdr:col>
      <xdr:colOff>228600</xdr:colOff>
      <xdr:row>45</xdr:row>
      <xdr:rowOff>90487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3/Desktop/Roj/kursynowe/LPP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>
        <row r="129">
          <cell r="E129">
            <v>1140</v>
          </cell>
        </row>
        <row r="191">
          <cell r="E191">
            <v>959.5</v>
          </cell>
        </row>
        <row r="252">
          <cell r="E252">
            <v>1175</v>
          </cell>
          <cell r="FR252">
            <v>1203.94</v>
          </cell>
        </row>
        <row r="318">
          <cell r="E318">
            <v>1525</v>
          </cell>
          <cell r="FR318">
            <v>1182.0816733067729</v>
          </cell>
        </row>
        <row r="381">
          <cell r="E381">
            <v>1590</v>
          </cell>
          <cell r="FR381">
            <v>1266.6706349206349</v>
          </cell>
        </row>
        <row r="443">
          <cell r="E443">
            <v>1841.5</v>
          </cell>
          <cell r="FR443">
            <v>1452.6269841269841</v>
          </cell>
        </row>
        <row r="505">
          <cell r="E505">
            <v>1722</v>
          </cell>
          <cell r="FR505">
            <v>1636.703557312253</v>
          </cell>
        </row>
        <row r="571">
          <cell r="E571">
            <v>1835</v>
          </cell>
          <cell r="FR571">
            <v>1724.8162055335968</v>
          </cell>
        </row>
        <row r="634">
          <cell r="E634">
            <v>2165</v>
          </cell>
          <cell r="FR634">
            <v>1859.4150197628458</v>
          </cell>
        </row>
        <row r="697">
          <cell r="E697">
            <v>2060</v>
          </cell>
          <cell r="FR697">
            <v>1912.8877952755906</v>
          </cell>
        </row>
        <row r="758">
          <cell r="E758">
            <v>2240</v>
          </cell>
          <cell r="FR758">
            <v>2023.3260869565217</v>
          </cell>
        </row>
        <row r="823">
          <cell r="E823">
            <v>1975</v>
          </cell>
          <cell r="FR823">
            <v>2087.6230158730159</v>
          </cell>
        </row>
        <row r="885">
          <cell r="E885">
            <v>2016</v>
          </cell>
          <cell r="FR885">
            <v>2080.1812749003984</v>
          </cell>
        </row>
        <row r="949">
          <cell r="E949">
            <v>2635</v>
          </cell>
          <cell r="FR949">
            <v>2125.9861111111113</v>
          </cell>
        </row>
        <row r="1009">
          <cell r="E1009">
            <v>3240.5</v>
          </cell>
          <cell r="FR1009">
            <v>2300.9422310756972</v>
          </cell>
        </row>
        <row r="1072">
          <cell r="E1072">
            <v>3400</v>
          </cell>
          <cell r="FR1072">
            <v>2635.2048192771085</v>
          </cell>
        </row>
        <row r="1133">
          <cell r="E1133">
            <v>4550</v>
          </cell>
          <cell r="FR1133">
            <v>3145.3346774193546</v>
          </cell>
        </row>
        <row r="1195">
          <cell r="E1195">
            <v>5650</v>
          </cell>
          <cell r="FR1195">
            <v>3858.3577235772359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04"/>
  <sheetViews>
    <sheetView tabSelected="1" workbookViewId="0">
      <pane xSplit="2" ySplit="2" topLeftCell="L3" activePane="bottomRight" state="frozen"/>
      <selection pane="topRight" activeCell="C1" sqref="C1"/>
      <selection pane="bottomLeft" activeCell="A3" sqref="A3"/>
      <selection pane="bottomRight" activeCell="P18" sqref="P18"/>
    </sheetView>
  </sheetViews>
  <sheetFormatPr defaultColWidth="8.7109375" defaultRowHeight="15" x14ac:dyDescent="0.25"/>
  <cols>
    <col min="1" max="1" width="2.85546875" customWidth="1"/>
    <col min="2" max="2" width="41.42578125" customWidth="1"/>
    <col min="3" max="3" width="9.7109375" customWidth="1"/>
    <col min="4" max="6" width="9.7109375" hidden="1" customWidth="1"/>
    <col min="7" max="24" width="12.7109375" customWidth="1"/>
    <col min="25" max="25" width="2.5703125" customWidth="1"/>
    <col min="26" max="26" width="10.28515625" bestFit="1" customWidth="1"/>
    <col min="27" max="27" width="10.28515625" customWidth="1"/>
  </cols>
  <sheetData>
    <row r="2" spans="2:24" x14ac:dyDescent="0.25">
      <c r="B2" s="9" t="s">
        <v>168</v>
      </c>
      <c r="C2" s="26" t="s">
        <v>125</v>
      </c>
      <c r="D2" s="26" t="s">
        <v>131</v>
      </c>
      <c r="E2" s="26" t="s">
        <v>132</v>
      </c>
      <c r="F2" s="26" t="s">
        <v>133</v>
      </c>
      <c r="G2" s="26" t="s">
        <v>134</v>
      </c>
      <c r="H2" s="26" t="s">
        <v>21</v>
      </c>
      <c r="I2" s="26" t="s">
        <v>25</v>
      </c>
      <c r="J2" s="26" t="s">
        <v>26</v>
      </c>
      <c r="K2" s="26" t="s">
        <v>27</v>
      </c>
      <c r="L2" s="26" t="s">
        <v>28</v>
      </c>
      <c r="M2" s="26" t="s">
        <v>29</v>
      </c>
      <c r="N2" s="26" t="s">
        <v>30</v>
      </c>
      <c r="O2" s="26" t="s">
        <v>31</v>
      </c>
      <c r="P2" s="26" t="s">
        <v>32</v>
      </c>
      <c r="Q2" s="26" t="s">
        <v>33</v>
      </c>
      <c r="R2" s="26" t="s">
        <v>34</v>
      </c>
      <c r="S2" s="26" t="s">
        <v>35</v>
      </c>
      <c r="T2" s="26" t="s">
        <v>36</v>
      </c>
      <c r="U2" s="26" t="s">
        <v>37</v>
      </c>
      <c r="V2" s="26" t="s">
        <v>38</v>
      </c>
      <c r="W2" s="26" t="s">
        <v>39</v>
      </c>
      <c r="X2" s="26" t="s">
        <v>40</v>
      </c>
    </row>
    <row r="3" spans="2:24" x14ac:dyDescent="0.25">
      <c r="D3" s="5"/>
      <c r="E3" s="5"/>
      <c r="F3" s="5"/>
    </row>
    <row r="4" spans="2:24" x14ac:dyDescent="0.25">
      <c r="B4" s="9" t="s">
        <v>10</v>
      </c>
      <c r="C4" s="11"/>
      <c r="D4" s="11"/>
      <c r="E4" s="11"/>
      <c r="F4" s="11"/>
      <c r="G4" s="11"/>
    </row>
    <row r="5" spans="2:24" x14ac:dyDescent="0.25">
      <c r="D5" s="5"/>
      <c r="E5" s="5"/>
      <c r="F5" s="5"/>
    </row>
    <row r="6" spans="2:24" x14ac:dyDescent="0.25">
      <c r="B6" s="1" t="s">
        <v>4</v>
      </c>
      <c r="C6" s="1" t="s">
        <v>124</v>
      </c>
      <c r="D6" s="5"/>
      <c r="E6" s="5"/>
      <c r="F6" s="5"/>
      <c r="G6" s="3">
        <v>770448</v>
      </c>
      <c r="H6" s="3">
        <v>782777</v>
      </c>
      <c r="I6" s="3">
        <v>771308</v>
      </c>
      <c r="J6" s="3">
        <v>760064</v>
      </c>
      <c r="K6" s="3">
        <v>739993</v>
      </c>
      <c r="L6" s="3">
        <v>748582</v>
      </c>
      <c r="M6" s="3">
        <v>728222</v>
      </c>
      <c r="N6" s="3">
        <v>726886</v>
      </c>
      <c r="O6" s="3">
        <v>712574</v>
      </c>
      <c r="P6" s="3">
        <v>707598</v>
      </c>
      <c r="Q6" s="3">
        <v>698107</v>
      </c>
      <c r="R6" s="3">
        <v>719776</v>
      </c>
      <c r="S6" s="3">
        <v>744937</v>
      </c>
      <c r="T6" s="3">
        <v>752598</v>
      </c>
      <c r="U6" s="3">
        <v>811285</v>
      </c>
      <c r="V6" s="3">
        <v>830204</v>
      </c>
      <c r="W6" s="3">
        <v>907094</v>
      </c>
      <c r="X6" s="3">
        <v>974231</v>
      </c>
    </row>
    <row r="7" spans="2:24" x14ac:dyDescent="0.25">
      <c r="D7" s="5"/>
      <c r="E7" s="5"/>
      <c r="F7" s="5"/>
    </row>
    <row r="8" spans="2:24" x14ac:dyDescent="0.25">
      <c r="B8" s="6" t="s">
        <v>3</v>
      </c>
      <c r="C8" s="1" t="s">
        <v>124</v>
      </c>
      <c r="D8" s="5"/>
      <c r="E8" s="5"/>
      <c r="F8" s="5"/>
      <c r="G8" s="7">
        <v>89831</v>
      </c>
      <c r="H8" s="7">
        <v>47184</v>
      </c>
      <c r="I8" s="7">
        <v>48298</v>
      </c>
      <c r="J8" s="7">
        <v>83587</v>
      </c>
      <c r="K8" s="7">
        <v>197482</v>
      </c>
      <c r="L8" s="7">
        <v>76709</v>
      </c>
      <c r="M8" s="7">
        <v>118692</v>
      </c>
      <c r="N8" s="7">
        <v>54701</v>
      </c>
      <c r="O8" s="7">
        <v>96471</v>
      </c>
      <c r="P8" s="7">
        <v>40739</v>
      </c>
      <c r="Q8" s="7">
        <v>96032</v>
      </c>
      <c r="R8" s="7">
        <v>48740</v>
      </c>
      <c r="S8" s="7">
        <v>116966</v>
      </c>
      <c r="T8" s="7">
        <v>81913</v>
      </c>
      <c r="U8" s="7">
        <v>143580</v>
      </c>
      <c r="V8" s="7">
        <v>84801</v>
      </c>
      <c r="W8" s="7">
        <v>159393</v>
      </c>
      <c r="X8" s="7">
        <v>107746</v>
      </c>
    </row>
    <row r="9" spans="2:24" x14ac:dyDescent="0.25">
      <c r="B9" s="8" t="s">
        <v>11</v>
      </c>
      <c r="C9" s="1" t="s">
        <v>124</v>
      </c>
      <c r="D9" s="5"/>
      <c r="E9" s="5"/>
      <c r="F9" s="5"/>
      <c r="G9" s="7">
        <f t="shared" ref="G9:H9" si="0">+G10-G8</f>
        <v>565929</v>
      </c>
      <c r="H9" s="7">
        <f t="shared" si="0"/>
        <v>588895</v>
      </c>
      <c r="I9" s="7">
        <f t="shared" ref="I9:X9" si="1">+I10-I8</f>
        <v>526821</v>
      </c>
      <c r="J9" s="7">
        <f t="shared" si="1"/>
        <v>457399</v>
      </c>
      <c r="K9" s="7">
        <f t="shared" si="1"/>
        <v>424128</v>
      </c>
      <c r="L9" s="7">
        <f t="shared" si="1"/>
        <v>510715</v>
      </c>
      <c r="M9" s="7">
        <f t="shared" si="1"/>
        <v>589402</v>
      </c>
      <c r="N9" s="7">
        <f t="shared" si="1"/>
        <v>634862</v>
      </c>
      <c r="O9" s="7">
        <f t="shared" si="1"/>
        <v>619975</v>
      </c>
      <c r="P9" s="7">
        <f t="shared" si="1"/>
        <v>609712</v>
      </c>
      <c r="Q9" s="7">
        <f t="shared" si="1"/>
        <v>689774</v>
      </c>
      <c r="R9" s="7">
        <f t="shared" si="1"/>
        <v>713323</v>
      </c>
      <c r="S9" s="7">
        <f t="shared" si="1"/>
        <v>751965</v>
      </c>
      <c r="T9" s="7">
        <f t="shared" si="1"/>
        <v>728154</v>
      </c>
      <c r="U9" s="7">
        <f t="shared" si="1"/>
        <v>780838</v>
      </c>
      <c r="V9" s="7">
        <f t="shared" si="1"/>
        <v>862973</v>
      </c>
      <c r="W9" s="7">
        <f t="shared" si="1"/>
        <v>864912</v>
      </c>
      <c r="X9" s="7">
        <f t="shared" si="1"/>
        <v>943757</v>
      </c>
    </row>
    <row r="10" spans="2:24" x14ac:dyDescent="0.25">
      <c r="B10" s="1" t="s">
        <v>5</v>
      </c>
      <c r="C10" s="1" t="s">
        <v>124</v>
      </c>
      <c r="D10" s="5"/>
      <c r="E10" s="5"/>
      <c r="F10" s="5"/>
      <c r="G10" s="3">
        <v>655760</v>
      </c>
      <c r="H10" s="3">
        <v>636079</v>
      </c>
      <c r="I10" s="3">
        <v>575119</v>
      </c>
      <c r="J10" s="3">
        <v>540986</v>
      </c>
      <c r="K10" s="3">
        <v>621610</v>
      </c>
      <c r="L10" s="3">
        <v>587424</v>
      </c>
      <c r="M10" s="3">
        <v>708094</v>
      </c>
      <c r="N10" s="3">
        <v>689563</v>
      </c>
      <c r="O10" s="3">
        <v>716446</v>
      </c>
      <c r="P10" s="3">
        <v>650451</v>
      </c>
      <c r="Q10" s="3">
        <v>785806</v>
      </c>
      <c r="R10" s="3">
        <v>762063</v>
      </c>
      <c r="S10" s="3">
        <v>868931</v>
      </c>
      <c r="T10" s="3">
        <v>810067</v>
      </c>
      <c r="U10" s="3">
        <v>924418</v>
      </c>
      <c r="V10" s="3">
        <v>947774</v>
      </c>
      <c r="W10" s="3">
        <v>1024305</v>
      </c>
      <c r="X10" s="3">
        <v>1051503</v>
      </c>
    </row>
    <row r="11" spans="2:24" x14ac:dyDescent="0.25">
      <c r="D11" s="5"/>
      <c r="E11" s="5"/>
      <c r="F11" s="5"/>
    </row>
    <row r="12" spans="2:24" x14ac:dyDescent="0.25">
      <c r="B12" s="1" t="s">
        <v>12</v>
      </c>
      <c r="C12" s="1" t="s">
        <v>124</v>
      </c>
      <c r="D12" s="5"/>
      <c r="E12" s="5"/>
      <c r="F12" s="5"/>
      <c r="G12" s="3">
        <f t="shared" ref="G12:H12" si="2">+G14-G6-G10</f>
        <v>0</v>
      </c>
      <c r="H12" s="3">
        <f t="shared" si="2"/>
        <v>0</v>
      </c>
      <c r="I12" s="3">
        <f t="shared" ref="I12:X12" si="3">+I14-I6-I10</f>
        <v>0</v>
      </c>
      <c r="J12" s="3">
        <f t="shared" si="3"/>
        <v>0</v>
      </c>
      <c r="K12" s="3">
        <f t="shared" si="3"/>
        <v>0</v>
      </c>
      <c r="L12" s="3">
        <f t="shared" si="3"/>
        <v>0</v>
      </c>
      <c r="M12" s="3">
        <f t="shared" si="3"/>
        <v>0</v>
      </c>
      <c r="N12" s="3">
        <f t="shared" si="3"/>
        <v>0</v>
      </c>
      <c r="O12" s="3">
        <f t="shared" si="3"/>
        <v>0</v>
      </c>
      <c r="P12" s="3">
        <f t="shared" si="3"/>
        <v>0</v>
      </c>
      <c r="Q12" s="3">
        <f t="shared" si="3"/>
        <v>0</v>
      </c>
      <c r="R12" s="3">
        <f t="shared" si="3"/>
        <v>0</v>
      </c>
      <c r="S12" s="3">
        <f t="shared" si="3"/>
        <v>0</v>
      </c>
      <c r="T12" s="3">
        <f t="shared" si="3"/>
        <v>0</v>
      </c>
      <c r="U12" s="3">
        <f t="shared" si="3"/>
        <v>0</v>
      </c>
      <c r="V12" s="3">
        <f t="shared" si="3"/>
        <v>0</v>
      </c>
      <c r="W12" s="3">
        <f t="shared" si="3"/>
        <v>0</v>
      </c>
      <c r="X12" s="3">
        <f t="shared" si="3"/>
        <v>0</v>
      </c>
    </row>
    <row r="13" spans="2:24" x14ac:dyDescent="0.25">
      <c r="D13" s="5"/>
      <c r="E13" s="5"/>
      <c r="F13" s="5"/>
    </row>
    <row r="14" spans="2:24" x14ac:dyDescent="0.25">
      <c r="B14" s="9" t="s">
        <v>6</v>
      </c>
      <c r="C14" s="1" t="s">
        <v>124</v>
      </c>
      <c r="D14" s="5"/>
      <c r="E14" s="5"/>
      <c r="F14" s="5"/>
      <c r="G14" s="10">
        <v>1426208</v>
      </c>
      <c r="H14" s="10">
        <v>1418856</v>
      </c>
      <c r="I14" s="10">
        <v>1346427</v>
      </c>
      <c r="J14" s="10">
        <v>1301050</v>
      </c>
      <c r="K14" s="10">
        <v>1361603</v>
      </c>
      <c r="L14" s="10">
        <v>1336006</v>
      </c>
      <c r="M14" s="10">
        <v>1436316</v>
      </c>
      <c r="N14" s="10">
        <v>1416449</v>
      </c>
      <c r="O14" s="10">
        <v>1429020</v>
      </c>
      <c r="P14" s="10">
        <v>1358049</v>
      </c>
      <c r="Q14" s="10">
        <v>1483913</v>
      </c>
      <c r="R14" s="10">
        <v>1481839</v>
      </c>
      <c r="S14" s="10">
        <v>1613868</v>
      </c>
      <c r="T14" s="10">
        <v>1562665</v>
      </c>
      <c r="U14" s="10">
        <v>1735703</v>
      </c>
      <c r="V14" s="10">
        <v>1777978</v>
      </c>
      <c r="W14" s="10">
        <v>1931399</v>
      </c>
      <c r="X14" s="10">
        <v>2025734</v>
      </c>
    </row>
    <row r="15" spans="2:24" x14ac:dyDescent="0.25">
      <c r="D15" s="5"/>
      <c r="E15" s="5"/>
      <c r="F15" s="5"/>
    </row>
    <row r="16" spans="2:24" x14ac:dyDescent="0.25">
      <c r="B16" s="6" t="s">
        <v>8</v>
      </c>
      <c r="C16" s="1" t="s">
        <v>124</v>
      </c>
      <c r="D16" s="5"/>
      <c r="E16" s="5"/>
      <c r="F16" s="5"/>
      <c r="G16" s="7">
        <v>322316</v>
      </c>
      <c r="H16" s="7">
        <v>327247</v>
      </c>
      <c r="I16" s="7">
        <v>276960</v>
      </c>
      <c r="J16" s="7">
        <v>381597</v>
      </c>
      <c r="K16" s="7">
        <v>347725</v>
      </c>
      <c r="L16" s="7">
        <v>343697</v>
      </c>
      <c r="M16" s="7">
        <v>310709</v>
      </c>
      <c r="N16" s="7">
        <v>309629</v>
      </c>
      <c r="O16" s="7">
        <v>281231</v>
      </c>
      <c r="P16" s="7">
        <v>262534</v>
      </c>
      <c r="Q16" s="7">
        <v>231180</v>
      </c>
      <c r="R16" s="7">
        <v>203850</v>
      </c>
      <c r="S16" s="7">
        <v>89356</v>
      </c>
      <c r="T16" s="7">
        <v>87038</v>
      </c>
      <c r="U16" s="7">
        <v>150161</v>
      </c>
      <c r="V16" s="7">
        <v>147781</v>
      </c>
      <c r="W16" s="7">
        <v>130986</v>
      </c>
      <c r="X16" s="7">
        <v>196085</v>
      </c>
    </row>
    <row r="17" spans="2:24" x14ac:dyDescent="0.25">
      <c r="B17" s="6" t="s">
        <v>9</v>
      </c>
      <c r="C17" s="1" t="s">
        <v>124</v>
      </c>
      <c r="D17" s="5"/>
      <c r="E17" s="5"/>
      <c r="F17" s="5"/>
      <c r="G17" s="7">
        <v>538657</v>
      </c>
      <c r="H17" s="7">
        <v>538321</v>
      </c>
      <c r="I17" s="7">
        <v>483620</v>
      </c>
      <c r="J17" s="7">
        <v>317642</v>
      </c>
      <c r="K17" s="7">
        <v>328289</v>
      </c>
      <c r="L17" s="7">
        <v>310635</v>
      </c>
      <c r="M17" s="7">
        <v>497145</v>
      </c>
      <c r="N17" s="7">
        <v>459763</v>
      </c>
      <c r="O17" s="7">
        <v>411243</v>
      </c>
      <c r="P17" s="7">
        <v>330183</v>
      </c>
      <c r="Q17" s="7">
        <v>561015</v>
      </c>
      <c r="R17" s="7">
        <v>503306</v>
      </c>
      <c r="S17" s="7">
        <v>615318</v>
      </c>
      <c r="T17" s="7">
        <v>526843</v>
      </c>
      <c r="U17" s="7">
        <v>698071</v>
      </c>
      <c r="V17" s="7">
        <v>566349</v>
      </c>
      <c r="W17" s="7">
        <v>588298</v>
      </c>
      <c r="X17" s="7">
        <v>597262</v>
      </c>
    </row>
    <row r="18" spans="2:24" x14ac:dyDescent="0.25">
      <c r="B18" s="1" t="s">
        <v>13</v>
      </c>
      <c r="C18" s="1" t="s">
        <v>124</v>
      </c>
      <c r="D18" s="5"/>
      <c r="E18" s="5"/>
      <c r="F18" s="5"/>
      <c r="G18" s="3">
        <f t="shared" ref="G18:H18" si="4">+G17+G16</f>
        <v>860973</v>
      </c>
      <c r="H18" s="3">
        <f t="shared" si="4"/>
        <v>865568</v>
      </c>
      <c r="I18" s="3">
        <f t="shared" ref="I18:X18" si="5">+I17+I16</f>
        <v>760580</v>
      </c>
      <c r="J18" s="3">
        <f t="shared" si="5"/>
        <v>699239</v>
      </c>
      <c r="K18" s="3">
        <f t="shared" si="5"/>
        <v>676014</v>
      </c>
      <c r="L18" s="3">
        <f t="shared" si="5"/>
        <v>654332</v>
      </c>
      <c r="M18" s="3">
        <f t="shared" si="5"/>
        <v>807854</v>
      </c>
      <c r="N18" s="3">
        <f t="shared" si="5"/>
        <v>769392</v>
      </c>
      <c r="O18" s="3">
        <f t="shared" si="5"/>
        <v>692474</v>
      </c>
      <c r="P18" s="3">
        <f t="shared" si="5"/>
        <v>592717</v>
      </c>
      <c r="Q18" s="3">
        <f t="shared" si="5"/>
        <v>792195</v>
      </c>
      <c r="R18" s="3">
        <f t="shared" si="5"/>
        <v>707156</v>
      </c>
      <c r="S18" s="3">
        <f t="shared" si="5"/>
        <v>704674</v>
      </c>
      <c r="T18" s="3">
        <f t="shared" si="5"/>
        <v>613881</v>
      </c>
      <c r="U18" s="3">
        <f t="shared" si="5"/>
        <v>848232</v>
      </c>
      <c r="V18" s="3">
        <f t="shared" si="5"/>
        <v>714130</v>
      </c>
      <c r="W18" s="3">
        <f t="shared" si="5"/>
        <v>719284</v>
      </c>
      <c r="X18" s="3">
        <f t="shared" si="5"/>
        <v>793347</v>
      </c>
    </row>
    <row r="19" spans="2:24" x14ac:dyDescent="0.25">
      <c r="D19" s="5"/>
      <c r="E19" s="5"/>
      <c r="F19" s="5"/>
    </row>
    <row r="20" spans="2:24" x14ac:dyDescent="0.25">
      <c r="B20" s="6" t="s">
        <v>7</v>
      </c>
      <c r="C20" s="1" t="s">
        <v>124</v>
      </c>
      <c r="D20" s="5"/>
      <c r="E20" s="5"/>
      <c r="F20" s="5"/>
      <c r="G20" s="7">
        <v>3492</v>
      </c>
      <c r="H20" s="7">
        <v>3492</v>
      </c>
      <c r="I20" s="7">
        <v>3492</v>
      </c>
      <c r="J20" s="7">
        <v>3501</v>
      </c>
      <c r="K20" s="7">
        <v>3501</v>
      </c>
      <c r="L20" s="7">
        <v>3501</v>
      </c>
      <c r="M20" s="7">
        <v>3501</v>
      </c>
      <c r="N20" s="7">
        <v>3501</v>
      </c>
      <c r="O20" s="7">
        <v>3501</v>
      </c>
      <c r="P20" s="7">
        <v>3523</v>
      </c>
      <c r="Q20" s="7">
        <v>3523</v>
      </c>
      <c r="R20" s="7">
        <v>3555</v>
      </c>
      <c r="S20" s="7">
        <v>3555</v>
      </c>
      <c r="T20" s="7">
        <v>3559</v>
      </c>
      <c r="U20" s="7">
        <v>3559</v>
      </c>
      <c r="V20" s="7">
        <v>3662</v>
      </c>
      <c r="W20" s="7">
        <v>3662</v>
      </c>
      <c r="X20" s="7">
        <v>3662</v>
      </c>
    </row>
    <row r="21" spans="2:24" x14ac:dyDescent="0.25">
      <c r="B21" s="8" t="s">
        <v>14</v>
      </c>
      <c r="C21" s="1" t="s">
        <v>124</v>
      </c>
      <c r="D21" s="5"/>
      <c r="E21" s="5"/>
      <c r="F21" s="5"/>
      <c r="G21" s="7">
        <f t="shared" ref="G21:H21" si="6">+G22-G20</f>
        <v>561743</v>
      </c>
      <c r="H21" s="7">
        <f t="shared" si="6"/>
        <v>549796</v>
      </c>
      <c r="I21" s="7">
        <f t="shared" ref="I21:X21" si="7">+I22-I20</f>
        <v>582355</v>
      </c>
      <c r="J21" s="7">
        <f t="shared" si="7"/>
        <v>598310</v>
      </c>
      <c r="K21" s="7">
        <f t="shared" si="7"/>
        <v>682088</v>
      </c>
      <c r="L21" s="7">
        <f t="shared" si="7"/>
        <v>678173</v>
      </c>
      <c r="M21" s="7">
        <f t="shared" si="7"/>
        <v>624961</v>
      </c>
      <c r="N21" s="7">
        <f t="shared" si="7"/>
        <v>643556</v>
      </c>
      <c r="O21" s="7">
        <f t="shared" si="7"/>
        <v>733045</v>
      </c>
      <c r="P21" s="7">
        <f t="shared" si="7"/>
        <v>761809</v>
      </c>
      <c r="Q21" s="7">
        <f t="shared" si="7"/>
        <v>688195</v>
      </c>
      <c r="R21" s="7">
        <f t="shared" si="7"/>
        <v>771128</v>
      </c>
      <c r="S21" s="7">
        <f t="shared" si="7"/>
        <v>905639</v>
      </c>
      <c r="T21" s="7">
        <f t="shared" si="7"/>
        <v>945225</v>
      </c>
      <c r="U21" s="7">
        <f t="shared" si="7"/>
        <v>883912</v>
      </c>
      <c r="V21" s="7">
        <f t="shared" si="7"/>
        <v>1060186</v>
      </c>
      <c r="W21" s="7">
        <f t="shared" si="7"/>
        <v>1208453</v>
      </c>
      <c r="X21" s="7">
        <f t="shared" si="7"/>
        <v>1228725</v>
      </c>
    </row>
    <row r="22" spans="2:24" x14ac:dyDescent="0.25">
      <c r="B22" s="1" t="s">
        <v>41</v>
      </c>
      <c r="C22" s="1" t="s">
        <v>124</v>
      </c>
      <c r="D22" s="5"/>
      <c r="E22" s="5"/>
      <c r="F22" s="5"/>
      <c r="G22" s="3">
        <f>564921+314</f>
        <v>565235</v>
      </c>
      <c r="H22" s="3">
        <v>553288</v>
      </c>
      <c r="I22" s="3">
        <f>+I23</f>
        <v>585847</v>
      </c>
      <c r="J22" s="3">
        <f t="shared" ref="J22:L22" si="8">+J23</f>
        <v>601811</v>
      </c>
      <c r="K22" s="3">
        <f t="shared" si="8"/>
        <v>685589</v>
      </c>
      <c r="L22" s="3">
        <f t="shared" si="8"/>
        <v>681674</v>
      </c>
      <c r="M22" s="3">
        <f>+M23</f>
        <v>628462</v>
      </c>
      <c r="N22" s="3">
        <f t="shared" ref="N22:X22" si="9">+N23</f>
        <v>647057</v>
      </c>
      <c r="O22" s="3">
        <f t="shared" si="9"/>
        <v>736546</v>
      </c>
      <c r="P22" s="3">
        <f t="shared" si="9"/>
        <v>765332</v>
      </c>
      <c r="Q22" s="3">
        <f t="shared" si="9"/>
        <v>691718</v>
      </c>
      <c r="R22" s="3">
        <f>+R23+2545</f>
        <v>774683</v>
      </c>
      <c r="S22" s="3">
        <f>+S23+2700</f>
        <v>909194</v>
      </c>
      <c r="T22" s="3">
        <f>+T23+3043</f>
        <v>948784</v>
      </c>
      <c r="U22" s="3">
        <f>+U23+2614</f>
        <v>887471</v>
      </c>
      <c r="V22" s="3">
        <f>+V23+2653</f>
        <v>1063848</v>
      </c>
      <c r="W22" s="3">
        <f>+W23+2538</f>
        <v>1212115</v>
      </c>
      <c r="X22" s="3">
        <f>+X23+2920</f>
        <v>1232387</v>
      </c>
    </row>
    <row r="23" spans="2:24" ht="30" x14ac:dyDescent="0.25">
      <c r="B23" s="18" t="s">
        <v>163</v>
      </c>
      <c r="C23" s="8" t="s">
        <v>124</v>
      </c>
      <c r="D23" s="5"/>
      <c r="E23" s="5"/>
      <c r="F23" s="5"/>
      <c r="G23" s="7">
        <v>564921</v>
      </c>
      <c r="H23" s="7">
        <v>553288</v>
      </c>
      <c r="I23" s="7">
        <v>585847</v>
      </c>
      <c r="J23" s="7">
        <v>601811</v>
      </c>
      <c r="K23" s="7">
        <v>685589</v>
      </c>
      <c r="L23" s="7">
        <v>681674</v>
      </c>
      <c r="M23" s="7">
        <v>628462</v>
      </c>
      <c r="N23" s="7">
        <v>647057</v>
      </c>
      <c r="O23" s="7">
        <v>736546</v>
      </c>
      <c r="P23" s="7">
        <v>765332</v>
      </c>
      <c r="Q23" s="7">
        <v>691718</v>
      </c>
      <c r="R23" s="7">
        <v>772138</v>
      </c>
      <c r="S23" s="7">
        <v>906494</v>
      </c>
      <c r="T23" s="7">
        <v>945741</v>
      </c>
      <c r="U23" s="7">
        <v>884857</v>
      </c>
      <c r="V23" s="7">
        <v>1061195</v>
      </c>
      <c r="W23" s="7">
        <v>1209577</v>
      </c>
      <c r="X23" s="7">
        <v>1229467</v>
      </c>
    </row>
    <row r="24" spans="2:24" x14ac:dyDescent="0.25">
      <c r="D24" s="5"/>
      <c r="E24" s="5"/>
      <c r="F24" s="5"/>
    </row>
    <row r="25" spans="2:24" x14ac:dyDescent="0.25">
      <c r="B25" s="1" t="s">
        <v>15</v>
      </c>
      <c r="C25" s="1" t="s">
        <v>124</v>
      </c>
      <c r="D25" s="5"/>
      <c r="E25" s="5"/>
      <c r="F25" s="5"/>
      <c r="G25" s="3">
        <f t="shared" ref="G25:H25" si="10">+G14-G18-G22</f>
        <v>0</v>
      </c>
      <c r="H25" s="3">
        <f t="shared" si="10"/>
        <v>0</v>
      </c>
      <c r="I25" s="3">
        <f t="shared" ref="I25:X25" si="11">+I14-I18-I22</f>
        <v>0</v>
      </c>
      <c r="J25" s="3">
        <f t="shared" si="11"/>
        <v>0</v>
      </c>
      <c r="K25" s="3">
        <f t="shared" si="11"/>
        <v>0</v>
      </c>
      <c r="L25" s="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1"/>
        <v>0</v>
      </c>
      <c r="Q25" s="3">
        <f t="shared" si="11"/>
        <v>0</v>
      </c>
      <c r="R25" s="3">
        <f t="shared" si="11"/>
        <v>0</v>
      </c>
      <c r="S25" s="3">
        <f t="shared" si="11"/>
        <v>0</v>
      </c>
      <c r="T25" s="3">
        <f t="shared" si="11"/>
        <v>0</v>
      </c>
      <c r="U25" s="3">
        <f t="shared" si="11"/>
        <v>0</v>
      </c>
      <c r="V25" s="3">
        <f t="shared" si="11"/>
        <v>0</v>
      </c>
      <c r="W25" s="3">
        <f t="shared" si="11"/>
        <v>0</v>
      </c>
      <c r="X25" s="3">
        <f t="shared" si="11"/>
        <v>0</v>
      </c>
    </row>
    <row r="26" spans="2:24" x14ac:dyDescent="0.25">
      <c r="D26" s="5"/>
      <c r="E26" s="5"/>
      <c r="F26" s="5"/>
    </row>
    <row r="27" spans="2:24" x14ac:dyDescent="0.25">
      <c r="B27" s="9" t="s">
        <v>16</v>
      </c>
      <c r="C27" s="1" t="s">
        <v>124</v>
      </c>
      <c r="D27" s="5"/>
      <c r="E27" s="5"/>
      <c r="F27" s="5"/>
      <c r="G27" s="10">
        <f t="shared" ref="G27:H27" si="12">+G18+G22+G25</f>
        <v>1426208</v>
      </c>
      <c r="H27" s="10">
        <f t="shared" si="12"/>
        <v>1418856</v>
      </c>
      <c r="I27" s="10">
        <f t="shared" ref="I27:X27" si="13">+I18+I22+I25</f>
        <v>1346427</v>
      </c>
      <c r="J27" s="10">
        <f t="shared" si="13"/>
        <v>1301050</v>
      </c>
      <c r="K27" s="10">
        <f t="shared" si="13"/>
        <v>1361603</v>
      </c>
      <c r="L27" s="10">
        <f t="shared" si="13"/>
        <v>1336006</v>
      </c>
      <c r="M27" s="10">
        <f t="shared" si="13"/>
        <v>1436316</v>
      </c>
      <c r="N27" s="10">
        <f t="shared" si="13"/>
        <v>1416449</v>
      </c>
      <c r="O27" s="10">
        <f t="shared" si="13"/>
        <v>1429020</v>
      </c>
      <c r="P27" s="10">
        <f t="shared" si="13"/>
        <v>1358049</v>
      </c>
      <c r="Q27" s="10">
        <f t="shared" si="13"/>
        <v>1483913</v>
      </c>
      <c r="R27" s="10">
        <f t="shared" si="13"/>
        <v>1481839</v>
      </c>
      <c r="S27" s="10">
        <f t="shared" si="13"/>
        <v>1613868</v>
      </c>
      <c r="T27" s="10">
        <f t="shared" si="13"/>
        <v>1562665</v>
      </c>
      <c r="U27" s="10">
        <f t="shared" si="13"/>
        <v>1735703</v>
      </c>
      <c r="V27" s="10">
        <f t="shared" si="13"/>
        <v>1777978</v>
      </c>
      <c r="W27" s="10">
        <f t="shared" si="13"/>
        <v>1931399</v>
      </c>
      <c r="X27" s="10">
        <f t="shared" si="13"/>
        <v>2025734</v>
      </c>
    </row>
    <row r="28" spans="2:24" x14ac:dyDescent="0.25">
      <c r="D28" s="5"/>
      <c r="E28" s="5"/>
      <c r="F28" s="5"/>
    </row>
    <row r="29" spans="2:24" x14ac:dyDescent="0.25">
      <c r="B29" s="6" t="s">
        <v>42</v>
      </c>
      <c r="C29" s="6" t="s">
        <v>124</v>
      </c>
      <c r="D29" s="35"/>
      <c r="E29" s="35"/>
      <c r="F29" s="35"/>
      <c r="G29" s="51"/>
      <c r="H29" s="7">
        <f>+H22-G22</f>
        <v>-11947</v>
      </c>
      <c r="I29" s="7">
        <f>+I22-H22</f>
        <v>32559</v>
      </c>
      <c r="J29" s="7">
        <f>+J22-I22</f>
        <v>15964</v>
      </c>
      <c r="K29" s="7">
        <f t="shared" ref="K29:X29" si="14">+K22-J22</f>
        <v>83778</v>
      </c>
      <c r="L29" s="7">
        <f t="shared" si="14"/>
        <v>-3915</v>
      </c>
      <c r="M29" s="7">
        <f t="shared" si="14"/>
        <v>-53212</v>
      </c>
      <c r="N29" s="7">
        <f t="shared" si="14"/>
        <v>18595</v>
      </c>
      <c r="O29" s="7">
        <f t="shared" si="14"/>
        <v>89489</v>
      </c>
      <c r="P29" s="7">
        <f t="shared" si="14"/>
        <v>28786</v>
      </c>
      <c r="Q29" s="7">
        <f t="shared" si="14"/>
        <v>-73614</v>
      </c>
      <c r="R29" s="7">
        <f t="shared" si="14"/>
        <v>82965</v>
      </c>
      <c r="S29" s="7">
        <f t="shared" si="14"/>
        <v>134511</v>
      </c>
      <c r="T29" s="7">
        <f t="shared" si="14"/>
        <v>39590</v>
      </c>
      <c r="U29" s="7">
        <f t="shared" si="14"/>
        <v>-61313</v>
      </c>
      <c r="V29" s="7">
        <f t="shared" si="14"/>
        <v>176377</v>
      </c>
      <c r="W29" s="7">
        <f t="shared" si="14"/>
        <v>148267</v>
      </c>
      <c r="X29" s="7">
        <f t="shared" si="14"/>
        <v>20272</v>
      </c>
    </row>
    <row r="30" spans="2:24" x14ac:dyDescent="0.25">
      <c r="B30" s="6" t="s">
        <v>43</v>
      </c>
      <c r="C30" s="6" t="s">
        <v>124</v>
      </c>
      <c r="D30" s="35"/>
      <c r="E30" s="35"/>
      <c r="F30" s="35"/>
      <c r="G30" s="51"/>
      <c r="H30" s="7">
        <f>+H43</f>
        <v>-7779</v>
      </c>
      <c r="I30" s="7">
        <f t="shared" ref="I30:X30" si="15">+I43</f>
        <v>30065</v>
      </c>
      <c r="J30" s="7">
        <f t="shared" si="15"/>
        <v>479</v>
      </c>
      <c r="K30" s="7">
        <f t="shared" si="15"/>
        <v>81956</v>
      </c>
      <c r="L30" s="7">
        <f t="shared" si="15"/>
        <v>-4784</v>
      </c>
      <c r="M30" s="7">
        <f t="shared" si="15"/>
        <v>37858</v>
      </c>
      <c r="N30" s="7">
        <f t="shared" si="15"/>
        <v>16701</v>
      </c>
      <c r="O30" s="7">
        <f t="shared" si="15"/>
        <v>89308</v>
      </c>
      <c r="P30" s="7">
        <f t="shared" si="15"/>
        <v>14136</v>
      </c>
      <c r="Q30" s="7">
        <f t="shared" si="15"/>
        <v>64175</v>
      </c>
      <c r="R30" s="7">
        <f t="shared" si="15"/>
        <v>61122</v>
      </c>
      <c r="S30" s="7">
        <f t="shared" si="15"/>
        <v>129713</v>
      </c>
      <c r="T30" s="7">
        <f t="shared" si="15"/>
        <v>33959</v>
      </c>
      <c r="U30" s="7">
        <f t="shared" si="15"/>
        <v>77862</v>
      </c>
      <c r="V30" s="7">
        <f t="shared" si="15"/>
        <v>94614</v>
      </c>
      <c r="W30" s="7">
        <f t="shared" si="15"/>
        <v>148629</v>
      </c>
      <c r="X30" s="7">
        <f t="shared" si="15"/>
        <v>19552</v>
      </c>
    </row>
    <row r="31" spans="2:24" x14ac:dyDescent="0.25">
      <c r="B31" s="52" t="s">
        <v>44</v>
      </c>
      <c r="C31" s="52" t="s">
        <v>124</v>
      </c>
      <c r="D31" s="50"/>
      <c r="E31" s="50"/>
      <c r="F31" s="50"/>
      <c r="G31" s="53"/>
      <c r="H31" s="54">
        <v>0</v>
      </c>
      <c r="I31" s="54">
        <f>-J50*J48*1000</f>
        <v>0</v>
      </c>
      <c r="J31" s="54">
        <v>0</v>
      </c>
      <c r="K31" s="54">
        <v>0</v>
      </c>
      <c r="L31" s="54">
        <v>0</v>
      </c>
      <c r="M31" s="54">
        <f>-N50*N48*1000</f>
        <v>-87500</v>
      </c>
      <c r="N31" s="54">
        <v>0</v>
      </c>
      <c r="O31" s="54">
        <v>0</v>
      </c>
      <c r="P31" s="54">
        <v>0</v>
      </c>
      <c r="Q31" s="54">
        <f>-R50*R48*1000</f>
        <v>-136810.79999999999</v>
      </c>
      <c r="R31" s="54">
        <v>0</v>
      </c>
      <c r="S31" s="54">
        <v>0</v>
      </c>
      <c r="T31" s="54">
        <v>0</v>
      </c>
      <c r="U31" s="54">
        <f>-V50*V48*1000</f>
        <v>-141568.80000000002</v>
      </c>
      <c r="V31" s="54">
        <v>0</v>
      </c>
      <c r="W31" s="54">
        <v>0</v>
      </c>
      <c r="X31" s="54">
        <v>0</v>
      </c>
    </row>
    <row r="32" spans="2:24" x14ac:dyDescent="0.25">
      <c r="B32" s="52" t="s">
        <v>164</v>
      </c>
      <c r="C32" s="52" t="s">
        <v>124</v>
      </c>
      <c r="D32" s="50"/>
      <c r="E32" s="50"/>
      <c r="F32" s="50"/>
      <c r="G32" s="53"/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f>(+P48-O48)*1000*P49</f>
        <v>20.017045454545471</v>
      </c>
      <c r="Q32" s="54">
        <v>0</v>
      </c>
      <c r="R32" s="54">
        <f>(+R48-Q48)*1000*R49</f>
        <v>39.943820224719133</v>
      </c>
      <c r="S32" s="54">
        <v>0</v>
      </c>
      <c r="T32" s="54">
        <v>0</v>
      </c>
      <c r="U32" s="54">
        <v>0</v>
      </c>
      <c r="V32" s="54">
        <f>(+V48-U48)*1000*V49</f>
        <v>100.05464480874326</v>
      </c>
      <c r="W32" s="54">
        <v>0</v>
      </c>
      <c r="X32" s="54">
        <v>0</v>
      </c>
    </row>
    <row r="33" spans="2:27" x14ac:dyDescent="0.25">
      <c r="B33" s="52" t="s">
        <v>45</v>
      </c>
      <c r="C33" s="52" t="s">
        <v>124</v>
      </c>
      <c r="D33" s="50"/>
      <c r="E33" s="50"/>
      <c r="F33" s="50"/>
      <c r="G33" s="53"/>
      <c r="H33" s="54">
        <f>+H29-H30-H31-H32</f>
        <v>-4168</v>
      </c>
      <c r="I33" s="54">
        <f t="shared" ref="I33:X33" si="16">+I29-I30-I31-I32</f>
        <v>2494</v>
      </c>
      <c r="J33" s="54">
        <f t="shared" si="16"/>
        <v>15485</v>
      </c>
      <c r="K33" s="54">
        <f t="shared" si="16"/>
        <v>1822</v>
      </c>
      <c r="L33" s="54">
        <f t="shared" si="16"/>
        <v>869</v>
      </c>
      <c r="M33" s="54">
        <f t="shared" si="16"/>
        <v>-3570</v>
      </c>
      <c r="N33" s="54">
        <f t="shared" si="16"/>
        <v>1894</v>
      </c>
      <c r="O33" s="54">
        <f t="shared" si="16"/>
        <v>181</v>
      </c>
      <c r="P33" s="54">
        <f t="shared" si="16"/>
        <v>14629.982954545454</v>
      </c>
      <c r="Q33" s="54">
        <f t="shared" si="16"/>
        <v>-978.20000000001164</v>
      </c>
      <c r="R33" s="54">
        <f t="shared" si="16"/>
        <v>21803.056179775282</v>
      </c>
      <c r="S33" s="54">
        <f t="shared" si="16"/>
        <v>4798</v>
      </c>
      <c r="T33" s="54">
        <f t="shared" si="16"/>
        <v>5631</v>
      </c>
      <c r="U33" s="54">
        <f t="shared" si="16"/>
        <v>2393.8000000000175</v>
      </c>
      <c r="V33" s="54">
        <f t="shared" si="16"/>
        <v>81662.945355191259</v>
      </c>
      <c r="W33" s="54">
        <f t="shared" si="16"/>
        <v>-362</v>
      </c>
      <c r="X33" s="54">
        <f t="shared" si="16"/>
        <v>720</v>
      </c>
    </row>
    <row r="34" spans="2:27" x14ac:dyDescent="0.25">
      <c r="C34" s="5"/>
      <c r="D34" s="5"/>
      <c r="E34" s="5"/>
      <c r="F34" s="5"/>
    </row>
    <row r="35" spans="2:27" ht="30" x14ac:dyDescent="0.25">
      <c r="B35" s="12" t="s">
        <v>24</v>
      </c>
      <c r="C35" s="32"/>
      <c r="D35" s="32"/>
      <c r="E35" s="32"/>
      <c r="F35" s="32"/>
      <c r="K35" s="21"/>
      <c r="M35" s="21"/>
      <c r="O35" s="21"/>
      <c r="P35" s="21"/>
      <c r="S35" s="21"/>
      <c r="T35" s="21"/>
      <c r="W35" s="21"/>
      <c r="Z35" s="37">
        <v>2008</v>
      </c>
      <c r="AA35" s="40" t="s">
        <v>135</v>
      </c>
    </row>
    <row r="36" spans="2:27" x14ac:dyDescent="0.25">
      <c r="D36" s="5"/>
      <c r="E36" s="5"/>
      <c r="F36" s="5"/>
    </row>
    <row r="37" spans="2:27" x14ac:dyDescent="0.25">
      <c r="B37" s="1" t="s">
        <v>2</v>
      </c>
      <c r="C37" s="1" t="s">
        <v>124</v>
      </c>
      <c r="D37" s="38">
        <f>+K128*Z37</f>
        <v>349881.21719660825</v>
      </c>
      <c r="E37" s="38">
        <f>+K129*Z37</f>
        <v>395534.78984023468</v>
      </c>
      <c r="F37" s="38">
        <f>+K130*Z37</f>
        <v>429939.77363285358</v>
      </c>
      <c r="G37" s="38">
        <f>+K131*Z37</f>
        <v>447643.21933030355</v>
      </c>
      <c r="H37" s="3">
        <v>463100</v>
      </c>
      <c r="I37" s="3">
        <f>953948-H37</f>
        <v>490848</v>
      </c>
      <c r="J37" s="3">
        <f>1458900-I37-H37</f>
        <v>504952</v>
      </c>
      <c r="K37" s="3">
        <f>2003095-J37-I37-H37</f>
        <v>544195</v>
      </c>
      <c r="L37" s="3">
        <v>424515</v>
      </c>
      <c r="M37" s="3">
        <f>906073-L37</f>
        <v>481558</v>
      </c>
      <c r="N37" s="3">
        <f>1449518-M37-L37</f>
        <v>543445</v>
      </c>
      <c r="O37" s="3">
        <f>2079358-N37-M37-L37</f>
        <v>629840</v>
      </c>
      <c r="P37" s="3">
        <v>500522</v>
      </c>
      <c r="Q37" s="3">
        <f>1081002-P37</f>
        <v>580480</v>
      </c>
      <c r="R37" s="3">
        <f>1703234-Q37-P37</f>
        <v>622232</v>
      </c>
      <c r="S37" s="3">
        <f>2492510-R37-Q37-P37</f>
        <v>789276</v>
      </c>
      <c r="T37" s="3">
        <v>657914</v>
      </c>
      <c r="U37" s="3">
        <f>1418054-T37</f>
        <v>760140</v>
      </c>
      <c r="V37" s="3">
        <f>2261646-U37-T37</f>
        <v>843592</v>
      </c>
      <c r="W37" s="3">
        <f>3223739-V37-U37-T37</f>
        <v>962093</v>
      </c>
      <c r="X37" s="3">
        <v>750826</v>
      </c>
      <c r="Z37" s="3">
        <v>1622999</v>
      </c>
      <c r="AA37" s="3">
        <f t="shared" ref="AA37:AA44" si="17">SUM(D37:G37)</f>
        <v>1622999</v>
      </c>
    </row>
    <row r="38" spans="2:27" ht="30" x14ac:dyDescent="0.25">
      <c r="B38" s="13" t="s">
        <v>18</v>
      </c>
      <c r="C38" s="13" t="s">
        <v>124</v>
      </c>
      <c r="D38" s="38">
        <f>+Z38*K138</f>
        <v>334721.19883508963</v>
      </c>
      <c r="E38" s="38">
        <f>+Z38*K139</f>
        <v>342195.44516490458</v>
      </c>
      <c r="F38" s="38">
        <f>+Z38*K140</f>
        <v>381617.55557278224</v>
      </c>
      <c r="G38" s="38">
        <f>+Z38*K141</f>
        <v>349690.80042722367</v>
      </c>
      <c r="H38" s="3">
        <f>+H37-H39</f>
        <v>465847</v>
      </c>
      <c r="I38" s="3">
        <f t="shared" ref="I38:X38" si="18">+I37-I39</f>
        <v>451029</v>
      </c>
      <c r="J38" s="3">
        <f t="shared" si="18"/>
        <v>483803</v>
      </c>
      <c r="K38" s="3">
        <f t="shared" si="18"/>
        <v>421138</v>
      </c>
      <c r="L38" s="3">
        <f t="shared" si="18"/>
        <v>416049</v>
      </c>
      <c r="M38" s="3">
        <f t="shared" ref="M38" si="19">+M37-M39</f>
        <v>441806</v>
      </c>
      <c r="N38" s="3">
        <f t="shared" ref="N38" si="20">+N37-N39</f>
        <v>506628</v>
      </c>
      <c r="O38" s="3">
        <f t="shared" ref="O38" si="21">+O37-O39</f>
        <v>514188</v>
      </c>
      <c r="P38" s="3">
        <f t="shared" si="18"/>
        <v>489682</v>
      </c>
      <c r="Q38" s="3">
        <f t="shared" ref="Q38" si="22">+Q37-Q39</f>
        <v>492764</v>
      </c>
      <c r="R38" s="3">
        <f t="shared" ref="R38" si="23">+R37-R39</f>
        <v>545079</v>
      </c>
      <c r="S38" s="3">
        <f t="shared" ref="S38" si="24">+S37-S39</f>
        <v>621879</v>
      </c>
      <c r="T38" s="3">
        <f t="shared" si="18"/>
        <v>615814</v>
      </c>
      <c r="U38" s="3">
        <f t="shared" ref="U38" si="25">+U37-U39</f>
        <v>646171</v>
      </c>
      <c r="V38" s="3">
        <f t="shared" ref="V38" si="26">+V37-V39</f>
        <v>730327</v>
      </c>
      <c r="W38" s="3">
        <f t="shared" ref="W38" si="27">+W37-W39</f>
        <v>775720</v>
      </c>
      <c r="X38" s="3">
        <f t="shared" si="18"/>
        <v>724969</v>
      </c>
      <c r="Z38" s="3">
        <f>+Z37-Z39</f>
        <v>1408225</v>
      </c>
      <c r="AA38" s="3">
        <f t="shared" si="17"/>
        <v>1408225</v>
      </c>
    </row>
    <row r="39" spans="2:27" x14ac:dyDescent="0.25">
      <c r="B39" s="13" t="s">
        <v>20</v>
      </c>
      <c r="C39" s="13" t="s">
        <v>124</v>
      </c>
      <c r="D39" s="38">
        <f t="shared" ref="D39:F39" si="28">+D37-D38</f>
        <v>15160.018361518625</v>
      </c>
      <c r="E39" s="38">
        <f t="shared" si="28"/>
        <v>53339.344675330096</v>
      </c>
      <c r="F39" s="38">
        <f t="shared" si="28"/>
        <v>48322.218060071347</v>
      </c>
      <c r="G39" s="38">
        <f>+G37-G38</f>
        <v>97952.418903079873</v>
      </c>
      <c r="H39" s="3">
        <v>-2747</v>
      </c>
      <c r="I39" s="3">
        <f>37072-H39</f>
        <v>39819</v>
      </c>
      <c r="J39" s="3">
        <f>58221-I39-H39</f>
        <v>21149</v>
      </c>
      <c r="K39" s="3">
        <f>181278-J39-I39-H39</f>
        <v>123057</v>
      </c>
      <c r="L39" s="3">
        <v>8466</v>
      </c>
      <c r="M39" s="3">
        <f>48218-L39</f>
        <v>39752</v>
      </c>
      <c r="N39" s="3">
        <f>85035-M39-L39</f>
        <v>36817</v>
      </c>
      <c r="O39" s="3">
        <f>200687-N39-M39-L39</f>
        <v>115652</v>
      </c>
      <c r="P39" s="3">
        <v>10840</v>
      </c>
      <c r="Q39" s="3">
        <f>98556-P39</f>
        <v>87716</v>
      </c>
      <c r="R39" s="3">
        <f>175709-Q39-P39</f>
        <v>77153</v>
      </c>
      <c r="S39" s="3">
        <f>343106-R39-Q39-P39</f>
        <v>167397</v>
      </c>
      <c r="T39" s="3">
        <v>42100</v>
      </c>
      <c r="U39" s="3">
        <f>156069-T39</f>
        <v>113969</v>
      </c>
      <c r="V39" s="3">
        <f>269334-U39-T39</f>
        <v>113265</v>
      </c>
      <c r="W39" s="3">
        <f>455707-V39-U39-T39</f>
        <v>186373</v>
      </c>
      <c r="X39" s="3">
        <v>25857</v>
      </c>
      <c r="Z39" s="3">
        <v>214774</v>
      </c>
      <c r="AA39" s="3">
        <f t="shared" si="17"/>
        <v>214773.99999999994</v>
      </c>
    </row>
    <row r="40" spans="2:27" ht="30" x14ac:dyDescent="0.25">
      <c r="B40" s="13" t="s">
        <v>17</v>
      </c>
      <c r="C40" s="13" t="s">
        <v>124</v>
      </c>
      <c r="D40" s="38">
        <f>+K148*Z40</f>
        <v>-66.129249809680545</v>
      </c>
      <c r="E40" s="38">
        <f>+K149*Z40</f>
        <v>-292.4659651960211</v>
      </c>
      <c r="F40" s="38">
        <f>+K150*Z40</f>
        <v>-556.89488996218881</v>
      </c>
      <c r="G40" s="38">
        <f>+K151*Z40</f>
        <v>-633.50989503210951</v>
      </c>
      <c r="H40" s="3">
        <f>+H41-H39</f>
        <v>-1164</v>
      </c>
      <c r="I40" s="3">
        <f t="shared" ref="I40:X40" si="29">+I41-I39</f>
        <v>-4332</v>
      </c>
      <c r="J40" s="3">
        <f t="shared" si="29"/>
        <v>-17596</v>
      </c>
      <c r="K40" s="3">
        <f t="shared" si="29"/>
        <v>-18935</v>
      </c>
      <c r="L40" s="3">
        <f t="shared" si="29"/>
        <v>-9343</v>
      </c>
      <c r="M40" s="3">
        <f t="shared" ref="M40" si="30">+M41-M39</f>
        <v>10787</v>
      </c>
      <c r="N40" s="3">
        <f t="shared" ref="N40" si="31">+N41-N39</f>
        <v>-16963</v>
      </c>
      <c r="O40" s="3">
        <f t="shared" ref="O40" si="32">+O41-O39</f>
        <v>-2679</v>
      </c>
      <c r="P40" s="3">
        <f t="shared" si="29"/>
        <v>8225</v>
      </c>
      <c r="Q40" s="3">
        <f t="shared" ref="Q40" si="33">+Q41-Q39</f>
        <v>-7678</v>
      </c>
      <c r="R40" s="3">
        <f t="shared" ref="R40" si="34">+R41-R39</f>
        <v>-1876</v>
      </c>
      <c r="S40" s="3">
        <f t="shared" ref="S40" si="35">+S41-S39</f>
        <v>-10754</v>
      </c>
      <c r="T40" s="3">
        <f t="shared" si="29"/>
        <v>-2223</v>
      </c>
      <c r="U40" s="3">
        <f t="shared" ref="U40" si="36">+U41-U39</f>
        <v>-18701</v>
      </c>
      <c r="V40" s="3">
        <f t="shared" ref="V40" si="37">+V41-V39</f>
        <v>-1503</v>
      </c>
      <c r="W40" s="3">
        <f t="shared" ref="W40" si="38">+W41-W39</f>
        <v>-7850</v>
      </c>
      <c r="X40" s="3">
        <f t="shared" si="29"/>
        <v>91</v>
      </c>
      <c r="Z40" s="3">
        <f>+Z41-Z39</f>
        <v>-1549</v>
      </c>
      <c r="AA40" s="3">
        <f t="shared" si="17"/>
        <v>-1549</v>
      </c>
    </row>
    <row r="41" spans="2:27" x14ac:dyDescent="0.25">
      <c r="B41" s="1" t="s">
        <v>0</v>
      </c>
      <c r="C41" s="1" t="s">
        <v>124</v>
      </c>
      <c r="D41" s="38">
        <f>+D39+D40</f>
        <v>15093.889111708944</v>
      </c>
      <c r="E41" s="38">
        <f t="shared" ref="E41:G41" si="39">+E39+E40</f>
        <v>53046.878710134071</v>
      </c>
      <c r="F41" s="38">
        <f t="shared" si="39"/>
        <v>47765.323170109157</v>
      </c>
      <c r="G41" s="38">
        <f t="shared" si="39"/>
        <v>97318.909008047762</v>
      </c>
      <c r="H41" s="3">
        <v>-3911</v>
      </c>
      <c r="I41" s="3">
        <f>31576-H41</f>
        <v>35487</v>
      </c>
      <c r="J41" s="3">
        <f>35129-I41-H41</f>
        <v>3553</v>
      </c>
      <c r="K41" s="3">
        <f>139251-J41-I41-H41</f>
        <v>104122</v>
      </c>
      <c r="L41" s="3">
        <v>-877</v>
      </c>
      <c r="M41" s="3">
        <f>49662-L41</f>
        <v>50539</v>
      </c>
      <c r="N41" s="3">
        <f>69516-M41-L41</f>
        <v>19854</v>
      </c>
      <c r="O41" s="3">
        <f>182489-N41-M41-L41</f>
        <v>112973</v>
      </c>
      <c r="P41" s="3">
        <v>19065</v>
      </c>
      <c r="Q41" s="3">
        <f>99103-P41</f>
        <v>80038</v>
      </c>
      <c r="R41" s="3">
        <f>174380-Q41-P41</f>
        <v>75277</v>
      </c>
      <c r="S41" s="3">
        <f>331023-R41-Q41-P41</f>
        <v>156643</v>
      </c>
      <c r="T41" s="3">
        <v>39877</v>
      </c>
      <c r="U41" s="3">
        <f>135145-T41</f>
        <v>95268</v>
      </c>
      <c r="V41" s="3">
        <f>246907-U41-T41</f>
        <v>111762</v>
      </c>
      <c r="W41" s="3">
        <f>425430-V41-U41-T41</f>
        <v>178523</v>
      </c>
      <c r="X41" s="3">
        <v>25948</v>
      </c>
      <c r="Z41" s="3">
        <v>213225</v>
      </c>
      <c r="AA41" s="3">
        <f t="shared" si="17"/>
        <v>213224.99999999994</v>
      </c>
    </row>
    <row r="42" spans="2:27" x14ac:dyDescent="0.25">
      <c r="B42" s="16" t="s">
        <v>19</v>
      </c>
      <c r="C42" s="13" t="s">
        <v>124</v>
      </c>
      <c r="D42" s="38">
        <f>+Z42*K158</f>
        <v>4162.3454864279938</v>
      </c>
      <c r="E42" s="38">
        <f>+Z42*K159</f>
        <v>11482.548186487966</v>
      </c>
      <c r="F42" s="38">
        <f>+Z42*K160</f>
        <v>8388.6170178091834</v>
      </c>
      <c r="G42" s="39">
        <f>+Z42*K161</f>
        <v>21684.489309274853</v>
      </c>
      <c r="H42" s="14">
        <f>+H41-H43</f>
        <v>3868</v>
      </c>
      <c r="I42" s="14">
        <f t="shared" ref="I42:X42" si="40">+I41-I43</f>
        <v>5422</v>
      </c>
      <c r="J42" s="14">
        <f t="shared" si="40"/>
        <v>3074</v>
      </c>
      <c r="K42" s="14">
        <f t="shared" si="40"/>
        <v>22166</v>
      </c>
      <c r="L42" s="14">
        <f t="shared" si="40"/>
        <v>3907</v>
      </c>
      <c r="M42" s="14">
        <f t="shared" ref="M42" si="41">+M41-M43</f>
        <v>12681</v>
      </c>
      <c r="N42" s="14">
        <f t="shared" ref="N42" si="42">+N41-N43</f>
        <v>3153</v>
      </c>
      <c r="O42" s="14">
        <f t="shared" ref="O42" si="43">+O41-O43</f>
        <v>23665</v>
      </c>
      <c r="P42" s="14">
        <f t="shared" si="40"/>
        <v>4929</v>
      </c>
      <c r="Q42" s="14">
        <f t="shared" ref="Q42" si="44">+Q41-Q43</f>
        <v>15863</v>
      </c>
      <c r="R42" s="14">
        <f t="shared" ref="R42" si="45">+R41-R43</f>
        <v>14155</v>
      </c>
      <c r="S42" s="14">
        <f t="shared" ref="S42" si="46">+S41-S43</f>
        <v>26930</v>
      </c>
      <c r="T42" s="14">
        <f t="shared" si="40"/>
        <v>5918</v>
      </c>
      <c r="U42" s="14">
        <f t="shared" ref="U42" si="47">+U41-U43</f>
        <v>17406</v>
      </c>
      <c r="V42" s="14">
        <f t="shared" ref="V42" si="48">+V41-V43</f>
        <v>17148</v>
      </c>
      <c r="W42" s="14">
        <f t="shared" ref="W42" si="49">+W41-W43</f>
        <v>29894</v>
      </c>
      <c r="X42" s="14">
        <f t="shared" si="40"/>
        <v>6396</v>
      </c>
      <c r="Z42" s="3">
        <f>+Z41-Z43</f>
        <v>45718</v>
      </c>
      <c r="AA42" s="3">
        <f t="shared" si="17"/>
        <v>45718</v>
      </c>
    </row>
    <row r="43" spans="2:27" x14ac:dyDescent="0.25">
      <c r="B43" s="1" t="s">
        <v>1</v>
      </c>
      <c r="C43" s="1" t="s">
        <v>124</v>
      </c>
      <c r="D43" s="38">
        <f t="shared" ref="D43:F43" si="50">+D41-D42</f>
        <v>10931.54362528095</v>
      </c>
      <c r="E43" s="38">
        <f t="shared" si="50"/>
        <v>41564.330523646102</v>
      </c>
      <c r="F43" s="38">
        <f t="shared" si="50"/>
        <v>39376.706152299972</v>
      </c>
      <c r="G43" s="38">
        <f>+G41-G42</f>
        <v>75634.419698772908</v>
      </c>
      <c r="H43" s="3">
        <v>-7779</v>
      </c>
      <c r="I43" s="3">
        <f>22286-H43</f>
        <v>30065</v>
      </c>
      <c r="J43" s="3">
        <f>22765-I43-H43</f>
        <v>479</v>
      </c>
      <c r="K43" s="3">
        <f>104721-J43-I43-H43</f>
        <v>81956</v>
      </c>
      <c r="L43" s="3">
        <v>-4784</v>
      </c>
      <c r="M43" s="3">
        <f>33074-L43</f>
        <v>37858</v>
      </c>
      <c r="N43" s="3">
        <f>49775-M43-L43</f>
        <v>16701</v>
      </c>
      <c r="O43" s="3">
        <f>139083-N43-M43-L43</f>
        <v>89308</v>
      </c>
      <c r="P43" s="3">
        <v>14136</v>
      </c>
      <c r="Q43" s="3">
        <f>78311-P43</f>
        <v>64175</v>
      </c>
      <c r="R43" s="3">
        <f>139433-Q43-P43</f>
        <v>61122</v>
      </c>
      <c r="S43" s="3">
        <f>269146-R43-Q43-P43</f>
        <v>129713</v>
      </c>
      <c r="T43" s="3">
        <v>33959</v>
      </c>
      <c r="U43" s="3">
        <f>111821-T43</f>
        <v>77862</v>
      </c>
      <c r="V43" s="3">
        <f>206435-U43-T43</f>
        <v>94614</v>
      </c>
      <c r="W43" s="3">
        <f>355064-V43-U43-T43</f>
        <v>148629</v>
      </c>
      <c r="X43" s="3">
        <v>19552</v>
      </c>
      <c r="Z43" s="3">
        <v>167507</v>
      </c>
      <c r="AA43" s="3">
        <f t="shared" si="17"/>
        <v>167506.99999999994</v>
      </c>
    </row>
    <row r="44" spans="2:27" ht="30" x14ac:dyDescent="0.25">
      <c r="B44" s="49" t="s">
        <v>162</v>
      </c>
      <c r="C44" s="1" t="s">
        <v>124</v>
      </c>
      <c r="D44" s="22">
        <f>+Z44*K168</f>
        <v>7201.8989803506956</v>
      </c>
      <c r="E44" s="22">
        <f>+K169*Z44</f>
        <v>42898.463604433426</v>
      </c>
      <c r="F44" s="22">
        <f>+K170*Z44</f>
        <v>35389.569583856341</v>
      </c>
      <c r="G44" s="22">
        <f>+K171*Z44</f>
        <v>82017.067831359556</v>
      </c>
      <c r="H44" s="3">
        <v>-7779</v>
      </c>
      <c r="I44" s="3">
        <f>22286-H44</f>
        <v>30065</v>
      </c>
      <c r="J44" s="3">
        <f>22765-I44-H44</f>
        <v>479</v>
      </c>
      <c r="K44" s="3">
        <f>104721-J44-I44-H44</f>
        <v>81956</v>
      </c>
      <c r="L44" s="3">
        <v>-4784</v>
      </c>
      <c r="M44" s="3">
        <f>33074-L44</f>
        <v>37858</v>
      </c>
      <c r="N44" s="3">
        <f>49775-M44-L44</f>
        <v>16701</v>
      </c>
      <c r="O44" s="3">
        <f>139083-N44-M44-L44</f>
        <v>89308</v>
      </c>
      <c r="P44" s="3">
        <v>14136</v>
      </c>
      <c r="Q44" s="3">
        <f>78311-P44</f>
        <v>64175</v>
      </c>
      <c r="R44" s="3">
        <f>139433-Q44-P44</f>
        <v>61122</v>
      </c>
      <c r="S44" s="3">
        <f>268725-R44-Q44-P44</f>
        <v>129292</v>
      </c>
      <c r="T44" s="3">
        <v>33616</v>
      </c>
      <c r="U44" s="3">
        <f>111123-T44</f>
        <v>77507</v>
      </c>
      <c r="V44" s="3">
        <f>205282-U44-T44</f>
        <v>94159</v>
      </c>
      <c r="W44" s="3">
        <f>353516-V44-U44-T44</f>
        <v>148234</v>
      </c>
      <c r="X44" s="3">
        <v>19172</v>
      </c>
      <c r="Z44" s="3">
        <v>167507</v>
      </c>
      <c r="AA44" s="3">
        <f t="shared" si="17"/>
        <v>167507</v>
      </c>
    </row>
    <row r="45" spans="2:27" x14ac:dyDescent="0.25">
      <c r="B45" s="5"/>
      <c r="C45" s="5"/>
      <c r="D45" s="5"/>
      <c r="E45" s="5"/>
      <c r="F45" s="5"/>
      <c r="G45" s="15"/>
      <c r="H45" s="15"/>
    </row>
    <row r="46" spans="2:27" x14ac:dyDescent="0.25">
      <c r="B46" s="17" t="s">
        <v>22</v>
      </c>
      <c r="C46" s="33"/>
      <c r="D46" s="33"/>
      <c r="E46" s="33"/>
      <c r="F46" s="33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2:27" x14ac:dyDescent="0.25">
      <c r="B47" s="5"/>
      <c r="C47" s="5"/>
      <c r="D47" s="5"/>
      <c r="E47" s="5"/>
      <c r="F47" s="5"/>
      <c r="G47" s="15"/>
      <c r="H47" s="15"/>
    </row>
    <row r="48" spans="2:27" x14ac:dyDescent="0.25">
      <c r="B48" s="1" t="s">
        <v>127</v>
      </c>
      <c r="C48" s="1" t="s">
        <v>126</v>
      </c>
      <c r="D48" s="5"/>
      <c r="E48" s="5"/>
      <c r="F48" s="5"/>
      <c r="G48" s="4">
        <v>1.75</v>
      </c>
      <c r="H48" s="4">
        <v>1.75</v>
      </c>
      <c r="I48" s="4">
        <v>1.75</v>
      </c>
      <c r="J48" s="4">
        <v>1.75</v>
      </c>
      <c r="K48" s="4">
        <v>1.75</v>
      </c>
      <c r="L48" s="4">
        <v>1.75</v>
      </c>
      <c r="M48" s="4">
        <v>1.75</v>
      </c>
      <c r="N48" s="4">
        <v>1.75</v>
      </c>
      <c r="O48" s="4">
        <v>1.75</v>
      </c>
      <c r="P48" s="4">
        <v>1.76</v>
      </c>
      <c r="Q48" s="4">
        <v>1.76</v>
      </c>
      <c r="R48" s="4">
        <v>1.78</v>
      </c>
      <c r="S48" s="4">
        <v>1.78</v>
      </c>
      <c r="T48" s="4">
        <v>1.78</v>
      </c>
      <c r="U48" s="4">
        <v>1.78</v>
      </c>
      <c r="V48" s="4">
        <v>1.83</v>
      </c>
      <c r="W48" s="4">
        <v>1.83</v>
      </c>
      <c r="X48" s="4">
        <v>1.83</v>
      </c>
    </row>
    <row r="49" spans="2:24" x14ac:dyDescent="0.25">
      <c r="B49" s="6" t="s">
        <v>23</v>
      </c>
      <c r="C49" s="6" t="s">
        <v>128</v>
      </c>
      <c r="D49" s="35"/>
      <c r="E49" s="35"/>
      <c r="F49" s="35"/>
      <c r="G49" s="19">
        <f t="shared" ref="G49:X49" si="51">+(G20*1000)/(G48*1000000)</f>
        <v>1.9954285714285713</v>
      </c>
      <c r="H49" s="19">
        <f t="shared" si="51"/>
        <v>1.9954285714285713</v>
      </c>
      <c r="I49" s="19">
        <f t="shared" si="51"/>
        <v>1.9954285714285713</v>
      </c>
      <c r="J49" s="19">
        <f t="shared" si="51"/>
        <v>2.0005714285714284</v>
      </c>
      <c r="K49" s="19">
        <f t="shared" si="51"/>
        <v>2.0005714285714284</v>
      </c>
      <c r="L49" s="19">
        <f t="shared" si="51"/>
        <v>2.0005714285714284</v>
      </c>
      <c r="M49" s="19">
        <f t="shared" si="51"/>
        <v>2.0005714285714284</v>
      </c>
      <c r="N49" s="19">
        <f t="shared" si="51"/>
        <v>2.0005714285714284</v>
      </c>
      <c r="O49" s="19">
        <f t="shared" si="51"/>
        <v>2.0005714285714284</v>
      </c>
      <c r="P49" s="19">
        <f t="shared" si="51"/>
        <v>2.0017045454545452</v>
      </c>
      <c r="Q49" s="19">
        <f t="shared" si="51"/>
        <v>2.0017045454545452</v>
      </c>
      <c r="R49" s="19">
        <f t="shared" si="51"/>
        <v>1.997191011235955</v>
      </c>
      <c r="S49" s="19">
        <f t="shared" si="51"/>
        <v>1.997191011235955</v>
      </c>
      <c r="T49" s="19">
        <f t="shared" si="51"/>
        <v>1.999438202247191</v>
      </c>
      <c r="U49" s="19">
        <f t="shared" si="51"/>
        <v>1.999438202247191</v>
      </c>
      <c r="V49" s="19">
        <f t="shared" si="51"/>
        <v>2.0010928961748635</v>
      </c>
      <c r="W49" s="19">
        <f t="shared" si="51"/>
        <v>2.0010928961748635</v>
      </c>
      <c r="X49" s="19">
        <f t="shared" si="51"/>
        <v>2.0010928961748635</v>
      </c>
    </row>
    <row r="50" spans="2:24" x14ac:dyDescent="0.25">
      <c r="B50" s="28" t="s">
        <v>85</v>
      </c>
      <c r="C50" s="28" t="s">
        <v>150</v>
      </c>
      <c r="D50" s="36"/>
      <c r="E50" s="36"/>
      <c r="F50" s="36"/>
      <c r="G50" s="43">
        <v>0</v>
      </c>
      <c r="H50" s="43">
        <v>0</v>
      </c>
      <c r="I50" s="43">
        <v>0</v>
      </c>
      <c r="J50" s="25">
        <v>0</v>
      </c>
      <c r="K50" s="43">
        <v>0</v>
      </c>
      <c r="L50" s="43">
        <v>0</v>
      </c>
      <c r="M50" s="43">
        <v>0</v>
      </c>
      <c r="N50" s="25">
        <v>50</v>
      </c>
      <c r="O50" s="43">
        <v>50</v>
      </c>
      <c r="P50" s="43">
        <v>50</v>
      </c>
      <c r="Q50" s="43">
        <v>50</v>
      </c>
      <c r="R50" s="25">
        <v>76.86</v>
      </c>
      <c r="S50" s="43">
        <v>76.86</v>
      </c>
      <c r="T50" s="43">
        <v>76.86</v>
      </c>
      <c r="U50" s="43">
        <v>76.86</v>
      </c>
      <c r="V50" s="25">
        <v>77.36</v>
      </c>
      <c r="W50" s="43">
        <v>77.36</v>
      </c>
      <c r="X50" s="43">
        <v>77.36</v>
      </c>
    </row>
    <row r="51" spans="2:24" x14ac:dyDescent="0.25">
      <c r="D51" s="5"/>
      <c r="E51" s="5"/>
      <c r="F51" s="5"/>
    </row>
    <row r="52" spans="2:24" x14ac:dyDescent="0.25">
      <c r="B52" s="9" t="s">
        <v>56</v>
      </c>
      <c r="C52" s="11"/>
      <c r="D52" s="11"/>
      <c r="E52" s="11"/>
      <c r="F52" s="11"/>
    </row>
    <row r="53" spans="2:24" x14ac:dyDescent="0.25">
      <c r="D53" s="5"/>
      <c r="E53" s="5"/>
      <c r="F53" s="5"/>
    </row>
    <row r="54" spans="2:24" x14ac:dyDescent="0.25">
      <c r="B54" s="1" t="s">
        <v>55</v>
      </c>
      <c r="C54" s="1" t="s">
        <v>128</v>
      </c>
      <c r="D54" s="5"/>
      <c r="E54" s="5"/>
      <c r="F54" s="5"/>
      <c r="G54" s="41">
        <f>+[1]Sheet0!$E$129</f>
        <v>1140</v>
      </c>
      <c r="H54" s="24">
        <f>+[1]Sheet0!$E$191</f>
        <v>959.5</v>
      </c>
      <c r="I54" s="24">
        <f>+[1]Sheet0!$E$252</f>
        <v>1175</v>
      </c>
      <c r="J54" s="24">
        <f>+[1]Sheet0!$E$318</f>
        <v>1525</v>
      </c>
      <c r="K54" s="24">
        <f>+[1]Sheet0!$E$381</f>
        <v>1590</v>
      </c>
      <c r="L54" s="24">
        <f>+[1]Sheet0!$E$443</f>
        <v>1841.5</v>
      </c>
      <c r="M54" s="24">
        <f>+[1]Sheet0!$E$505</f>
        <v>1722</v>
      </c>
      <c r="N54" s="24">
        <f>+[1]Sheet0!$E$571</f>
        <v>1835</v>
      </c>
      <c r="O54" s="24">
        <f>+[1]Sheet0!$E$634</f>
        <v>2165</v>
      </c>
      <c r="P54" s="24">
        <f>+[1]Sheet0!$E$697</f>
        <v>2060</v>
      </c>
      <c r="Q54" s="24">
        <f>+[1]Sheet0!$E$758</f>
        <v>2240</v>
      </c>
      <c r="R54" s="24">
        <f>+[1]Sheet0!$E$823</f>
        <v>1975</v>
      </c>
      <c r="S54" s="24">
        <f>+[1]Sheet0!$E$885</f>
        <v>2016</v>
      </c>
      <c r="T54" s="24">
        <f>+[1]Sheet0!$E$949</f>
        <v>2635</v>
      </c>
      <c r="U54" s="24">
        <f>+[1]Sheet0!$E$1009</f>
        <v>3240.5</v>
      </c>
      <c r="V54" s="24">
        <f>+[1]Sheet0!$E$1072</f>
        <v>3400</v>
      </c>
      <c r="W54" s="24">
        <f>+[1]Sheet0!$E$1133</f>
        <v>4550</v>
      </c>
      <c r="X54" s="24">
        <f>+[1]Sheet0!$E$1195</f>
        <v>5650</v>
      </c>
    </row>
    <row r="55" spans="2:24" x14ac:dyDescent="0.25">
      <c r="B55" s="28" t="s">
        <v>151</v>
      </c>
      <c r="C55" s="1" t="s">
        <v>128</v>
      </c>
      <c r="D55" s="5"/>
      <c r="E55" s="5"/>
      <c r="F55" s="5"/>
      <c r="G55" s="41" t="s">
        <v>155</v>
      </c>
      <c r="H55" s="41" t="s">
        <v>155</v>
      </c>
      <c r="I55" s="41">
        <f>+[1]Sheet0!$FR$252</f>
        <v>1203.94</v>
      </c>
      <c r="J55" s="41">
        <f>+[1]Sheet0!$FR$318</f>
        <v>1182.0816733067729</v>
      </c>
      <c r="K55" s="56">
        <f>+[1]Sheet0!$FR$381</f>
        <v>1266.6706349206349</v>
      </c>
      <c r="L55" s="24">
        <f>+[1]Sheet0!$FR$443</f>
        <v>1452.6269841269841</v>
      </c>
      <c r="M55" s="24">
        <f>+[1]Sheet0!$FR$505</f>
        <v>1636.703557312253</v>
      </c>
      <c r="N55" s="24">
        <f>+[1]Sheet0!$FR$571</f>
        <v>1724.8162055335968</v>
      </c>
      <c r="O55" s="42">
        <f>+[1]Sheet0!$FR$634</f>
        <v>1859.4150197628458</v>
      </c>
      <c r="P55" s="24">
        <f>+[1]Sheet0!$FR$697</f>
        <v>1912.8877952755906</v>
      </c>
      <c r="Q55" s="24">
        <f>+[1]Sheet0!$FR$758</f>
        <v>2023.3260869565217</v>
      </c>
      <c r="R55" s="24">
        <f>+[1]Sheet0!$FR$823</f>
        <v>2087.6230158730159</v>
      </c>
      <c r="S55" s="42">
        <f>+[1]Sheet0!$FR$885</f>
        <v>2080.1812749003984</v>
      </c>
      <c r="T55" s="24">
        <f>+[1]Sheet0!$FR$949</f>
        <v>2125.9861111111113</v>
      </c>
      <c r="U55" s="24">
        <f>+[1]Sheet0!$FR$1009</f>
        <v>2300.9422310756972</v>
      </c>
      <c r="V55" s="24">
        <f>+[1]Sheet0!$FR$1072</f>
        <v>2635.2048192771085</v>
      </c>
      <c r="W55" s="42">
        <f>+[1]Sheet0!$FR$1133</f>
        <v>3145.3346774193546</v>
      </c>
      <c r="X55" s="24">
        <f>+[1]Sheet0!$FR$1195</f>
        <v>3858.3577235772359</v>
      </c>
    </row>
    <row r="56" spans="2:24" x14ac:dyDescent="0.25">
      <c r="D56" s="5"/>
      <c r="E56" s="5"/>
      <c r="F56" s="5"/>
    </row>
    <row r="57" spans="2:24" x14ac:dyDescent="0.25">
      <c r="B57" s="9" t="s">
        <v>58</v>
      </c>
      <c r="C57" s="11"/>
      <c r="D57" s="11"/>
      <c r="E57" s="11"/>
      <c r="F57" s="11"/>
    </row>
    <row r="58" spans="2:24" x14ac:dyDescent="0.25">
      <c r="D58" s="5"/>
      <c r="E58" s="5"/>
      <c r="F58" s="5"/>
    </row>
    <row r="59" spans="2:24" x14ac:dyDescent="0.25">
      <c r="B59" s="1" t="s">
        <v>59</v>
      </c>
      <c r="C59" s="1" t="s">
        <v>129</v>
      </c>
      <c r="D59" s="5"/>
      <c r="E59" s="5"/>
      <c r="F59" s="5"/>
      <c r="G59" s="4">
        <f>+((+G10)/2)/((+G17)/2)</f>
        <v>1.2173980844953283</v>
      </c>
      <c r="H59" s="4">
        <f>+((+G10+H10)/2)/((+G17+H17)/2)</f>
        <v>1.1995036110301232</v>
      </c>
      <c r="I59" s="4">
        <f>+((+G10+I10)/2)/((+G17+I17)/2)</f>
        <v>1.2040562391602276</v>
      </c>
      <c r="J59" s="4">
        <f>+((+G10+J10)/2)/((+G17+J17)/2)</f>
        <v>1.3975795837668852</v>
      </c>
      <c r="K59" s="4">
        <f t="shared" ref="K59:X59" si="52">+((+G10+K10)/2)/((+G17+K17)/2)</f>
        <v>1.4734135690112187</v>
      </c>
      <c r="L59" s="4">
        <f t="shared" si="52"/>
        <v>1.4411854089022282</v>
      </c>
      <c r="M59" s="4">
        <f t="shared" si="52"/>
        <v>1.3083796832064767</v>
      </c>
      <c r="N59" s="4">
        <f t="shared" si="52"/>
        <v>1.5828930866150848</v>
      </c>
      <c r="O59" s="4">
        <f t="shared" si="52"/>
        <v>1.8093280615308061</v>
      </c>
      <c r="P59" s="4">
        <f t="shared" si="52"/>
        <v>1.931710719736337</v>
      </c>
      <c r="Q59" s="4">
        <f t="shared" si="52"/>
        <v>1.4117902774627655</v>
      </c>
      <c r="R59" s="4">
        <f t="shared" si="52"/>
        <v>1.5072917932152317</v>
      </c>
      <c r="S59" s="4">
        <f t="shared" si="52"/>
        <v>1.5443573250883289</v>
      </c>
      <c r="T59" s="4">
        <f t="shared" si="52"/>
        <v>1.7041700018435846</v>
      </c>
      <c r="U59" s="4">
        <f t="shared" si="52"/>
        <v>1.3583059457415936</v>
      </c>
      <c r="V59" s="4">
        <f t="shared" si="52"/>
        <v>1.5984939069139115</v>
      </c>
      <c r="W59" s="4">
        <f t="shared" si="52"/>
        <v>1.5729568234387048</v>
      </c>
      <c r="X59" s="4">
        <f t="shared" si="52"/>
        <v>1.6560463657754392</v>
      </c>
    </row>
    <row r="60" spans="2:24" x14ac:dyDescent="0.25">
      <c r="B60" s="1" t="s">
        <v>60</v>
      </c>
      <c r="C60" s="1" t="s">
        <v>129</v>
      </c>
      <c r="D60" s="5"/>
      <c r="E60" s="5"/>
      <c r="F60" s="5"/>
      <c r="G60" s="4">
        <f>+((+G8)/2)/((G17)/2)</f>
        <v>0.1667684630479136</v>
      </c>
      <c r="H60" s="4">
        <f>+((+G8+H8)/2)/((+G17+H17)/2)</f>
        <v>0.12722172597768944</v>
      </c>
      <c r="I60" s="4">
        <f>+((+G8+I8)/2)/((+G17+I17)/2)</f>
        <v>0.13511895503860499</v>
      </c>
      <c r="J60" s="4">
        <f>+((+G8+J8)/2)/((+G17+J17)/2)</f>
        <v>0.20252038131540501</v>
      </c>
      <c r="K60" s="4">
        <f t="shared" ref="K60:X60" si="53">+((+G8+K8)/2)/((+G17+K17)/2)</f>
        <v>0.33140818459281202</v>
      </c>
      <c r="L60" s="4">
        <f t="shared" si="53"/>
        <v>0.14593571398282126</v>
      </c>
      <c r="M60" s="4">
        <f t="shared" si="53"/>
        <v>0.17026504820216873</v>
      </c>
      <c r="N60" s="4">
        <f t="shared" si="53"/>
        <v>0.1778841144577151</v>
      </c>
      <c r="O60" s="4">
        <f t="shared" si="53"/>
        <v>0.39748516629435915</v>
      </c>
      <c r="P60" s="4">
        <f t="shared" si="53"/>
        <v>0.18327824748992694</v>
      </c>
      <c r="Q60" s="4">
        <f t="shared" si="53"/>
        <v>0.20292205337567099</v>
      </c>
      <c r="R60" s="4">
        <f t="shared" si="53"/>
        <v>0.10740767276280308</v>
      </c>
      <c r="S60" s="4">
        <f t="shared" si="53"/>
        <v>0.20791458081886999</v>
      </c>
      <c r="T60" s="4">
        <f t="shared" si="53"/>
        <v>0.14311351114201903</v>
      </c>
      <c r="U60" s="4">
        <f t="shared" si="53"/>
        <v>0.19030630155525516</v>
      </c>
      <c r="V60" s="4">
        <f t="shared" si="53"/>
        <v>0.12484492663522351</v>
      </c>
      <c r="W60" s="4">
        <f t="shared" si="53"/>
        <v>0.22960728338606332</v>
      </c>
      <c r="X60" s="4">
        <f t="shared" si="53"/>
        <v>0.16872000391422509</v>
      </c>
    </row>
    <row r="61" spans="2:24" x14ac:dyDescent="0.25">
      <c r="B61" s="1" t="s">
        <v>88</v>
      </c>
      <c r="C61" s="1" t="s">
        <v>124</v>
      </c>
      <c r="D61" s="5"/>
      <c r="E61" s="5"/>
      <c r="F61" s="5"/>
      <c r="G61" s="3">
        <f t="shared" ref="G61:X61" si="54">+G10-G17</f>
        <v>117103</v>
      </c>
      <c r="H61" s="3">
        <f t="shared" si="54"/>
        <v>97758</v>
      </c>
      <c r="I61" s="3">
        <f t="shared" si="54"/>
        <v>91499</v>
      </c>
      <c r="J61" s="3">
        <f t="shared" si="54"/>
        <v>223344</v>
      </c>
      <c r="K61" s="3">
        <f t="shared" si="54"/>
        <v>293321</v>
      </c>
      <c r="L61" s="3">
        <f t="shared" si="54"/>
        <v>276789</v>
      </c>
      <c r="M61" s="3">
        <f t="shared" si="54"/>
        <v>210949</v>
      </c>
      <c r="N61" s="3">
        <f t="shared" si="54"/>
        <v>229800</v>
      </c>
      <c r="O61" s="3">
        <f t="shared" si="54"/>
        <v>305203</v>
      </c>
      <c r="P61" s="3">
        <f t="shared" si="54"/>
        <v>320268</v>
      </c>
      <c r="Q61" s="3">
        <f t="shared" si="54"/>
        <v>224791</v>
      </c>
      <c r="R61" s="3">
        <f t="shared" si="54"/>
        <v>258757</v>
      </c>
      <c r="S61" s="3">
        <f t="shared" si="54"/>
        <v>253613</v>
      </c>
      <c r="T61" s="3">
        <f t="shared" si="54"/>
        <v>283224</v>
      </c>
      <c r="U61" s="3">
        <f t="shared" si="54"/>
        <v>226347</v>
      </c>
      <c r="V61" s="3">
        <f t="shared" si="54"/>
        <v>381425</v>
      </c>
      <c r="W61" s="3">
        <f t="shared" si="54"/>
        <v>436007</v>
      </c>
      <c r="X61" s="3">
        <f t="shared" si="54"/>
        <v>454241</v>
      </c>
    </row>
    <row r="62" spans="2:24" x14ac:dyDescent="0.25">
      <c r="B62" s="1" t="s">
        <v>137</v>
      </c>
      <c r="C62" s="1" t="s">
        <v>124</v>
      </c>
      <c r="D62" s="5"/>
      <c r="E62" s="5"/>
      <c r="F62" s="5"/>
      <c r="G62" s="3">
        <f>+((+G10+G10)/2)-((+G17+G17)/2)</f>
        <v>117103</v>
      </c>
      <c r="H62" s="3">
        <f>+((+H10+G10)/2)-((+H17+G17)/2)</f>
        <v>107430.5</v>
      </c>
      <c r="I62" s="3">
        <f>+((+I10+G10)/2)-((+I17+G17)/2)</f>
        <v>104301</v>
      </c>
      <c r="J62" s="3">
        <f>+((+J10+G10)/2)-((+J17+G17)/2)</f>
        <v>170223.5</v>
      </c>
      <c r="K62" s="3">
        <f t="shared" ref="K62:X62" si="55">+((+K10+G10)/2)-((+K17+G17)/2)</f>
        <v>205212</v>
      </c>
      <c r="L62" s="3">
        <f t="shared" si="55"/>
        <v>187273.5</v>
      </c>
      <c r="M62" s="3">
        <f t="shared" si="55"/>
        <v>151224</v>
      </c>
      <c r="N62" s="3">
        <f t="shared" si="55"/>
        <v>226572</v>
      </c>
      <c r="O62" s="3">
        <f t="shared" si="55"/>
        <v>299262</v>
      </c>
      <c r="P62" s="3">
        <f t="shared" si="55"/>
        <v>298528.5</v>
      </c>
      <c r="Q62" s="3">
        <f t="shared" si="55"/>
        <v>217870</v>
      </c>
      <c r="R62" s="3">
        <f t="shared" si="55"/>
        <v>244278.5</v>
      </c>
      <c r="S62" s="3">
        <f t="shared" si="55"/>
        <v>279408</v>
      </c>
      <c r="T62" s="3">
        <f t="shared" si="55"/>
        <v>301746</v>
      </c>
      <c r="U62" s="3">
        <f t="shared" si="55"/>
        <v>225569</v>
      </c>
      <c r="V62" s="3">
        <f t="shared" si="55"/>
        <v>320091</v>
      </c>
      <c r="W62" s="3">
        <f t="shared" si="55"/>
        <v>344810</v>
      </c>
      <c r="X62" s="3">
        <f t="shared" si="55"/>
        <v>368732.5</v>
      </c>
    </row>
    <row r="63" spans="2:24" x14ac:dyDescent="0.25">
      <c r="D63" s="5"/>
      <c r="E63" s="5"/>
      <c r="F63" s="5"/>
    </row>
    <row r="64" spans="2:24" x14ac:dyDescent="0.25">
      <c r="B64" s="9" t="s">
        <v>61</v>
      </c>
      <c r="C64" s="11"/>
      <c r="D64" s="11"/>
      <c r="E64" s="11"/>
      <c r="F64" s="11"/>
    </row>
    <row r="66" spans="2:24" ht="30" x14ac:dyDescent="0.25">
      <c r="B66" s="13" t="s">
        <v>62</v>
      </c>
      <c r="C66" s="13" t="s">
        <v>130</v>
      </c>
      <c r="D66" s="34"/>
      <c r="E66" s="34"/>
      <c r="F66" s="34"/>
      <c r="G66" s="3">
        <f>+((+G9+G9)/2)/(+G37+F37+E37+D37)*$E$204</f>
        <v>127.6217754909276</v>
      </c>
      <c r="H66" s="3">
        <f>+((+H9+G9)/2)/(+H37+G37+F37+E37)*$D$204</f>
        <v>121.3876404719821</v>
      </c>
      <c r="I66" s="3">
        <f>+((+I9+G9)/2)/(+I37+H37+G37+F37)*$D$204</f>
        <v>108.88534006042433</v>
      </c>
      <c r="J66" s="3">
        <f>+((+J9+G9)/2)/(+J37+I37+H37+G37)*$D$204</f>
        <v>97.956006507736433</v>
      </c>
      <c r="K66" s="3">
        <f t="shared" ref="K66:S66" si="56">+((+K9+G9)/2)/(+K37+J37+I37+H37)*$D$204</f>
        <v>90.203111934281694</v>
      </c>
      <c r="L66" s="3">
        <f t="shared" si="56"/>
        <v>102.1521015418603</v>
      </c>
      <c r="M66" s="3">
        <f t="shared" si="56"/>
        <v>104.18812077413283</v>
      </c>
      <c r="N66" s="3">
        <f t="shared" si="56"/>
        <v>99.983113166238084</v>
      </c>
      <c r="O66" s="3">
        <f t="shared" si="56"/>
        <v>91.638283306674467</v>
      </c>
      <c r="P66" s="3">
        <f t="shared" si="56"/>
        <v>94.869280841064054</v>
      </c>
      <c r="Q66" s="3">
        <f t="shared" si="56"/>
        <v>103.55807401630759</v>
      </c>
      <c r="R66" s="3">
        <f t="shared" si="56"/>
        <v>105.45904780559897</v>
      </c>
      <c r="S66" s="3">
        <f t="shared" si="56"/>
        <v>100.45257591744867</v>
      </c>
      <c r="T66" s="3">
        <f>+((+T9+P9)/2)/(+T37+S37+R37+Q37)*$E$204</f>
        <v>92.391899021171355</v>
      </c>
      <c r="U66" s="3">
        <f>+((+U9+Q9)/2)/(+U37+T37+S37+R37)*$E$204</f>
        <v>95.110831994492429</v>
      </c>
      <c r="V66" s="3">
        <f>+((+V9+R9)/2)/(+V37+U37+T37+S37)*$E$204</f>
        <v>94.549178248411465</v>
      </c>
      <c r="W66" s="3">
        <f>+((+W9+S9)/2)/(+W37+V37+U37+T37)*$E$204</f>
        <v>91.784257658575953</v>
      </c>
      <c r="X66" s="3">
        <f>+((+X9+T9)/2)/(+X37+W37+V37+U37)*$D$204</f>
        <v>91.997547375349399</v>
      </c>
    </row>
    <row r="67" spans="2:24" x14ac:dyDescent="0.25">
      <c r="B67" s="1" t="s">
        <v>63</v>
      </c>
      <c r="C67" s="1" t="s">
        <v>130</v>
      </c>
      <c r="D67" s="5"/>
      <c r="E67" s="5"/>
      <c r="F67" s="5"/>
      <c r="G67" s="3">
        <f>+((+G17+G17)/2)/(+G38+F38+E38+D38)*$E$204</f>
        <v>139.99784267428853</v>
      </c>
      <c r="H67" s="3">
        <f>+((+H17+G17)/2)/(+H38+G38+F38+E38)*$D$204</f>
        <v>127.68271199213399</v>
      </c>
      <c r="I67" s="3">
        <f>+((+I17+G17)/2)/(+I38+H38+G38+F38)*$D$204</f>
        <v>113.19459004742511</v>
      </c>
      <c r="J67" s="3">
        <f>+((+J17+G17)/2)/(+J38+I38+H38+G38)*$D$204</f>
        <v>89.280886508586406</v>
      </c>
      <c r="K67" s="3">
        <f t="shared" ref="K67:S67" si="57">+((+K17+G17)/2)/(+K38+J38+I38+H38)*$D$204</f>
        <v>86.846069061821254</v>
      </c>
      <c r="L67" s="3">
        <f t="shared" si="57"/>
        <v>87.433864986774964</v>
      </c>
      <c r="M67" s="3">
        <f t="shared" si="57"/>
        <v>101.53733755919572</v>
      </c>
      <c r="N67" s="3">
        <f t="shared" si="57"/>
        <v>79.454941726155781</v>
      </c>
      <c r="O67" s="3">
        <f t="shared" si="57"/>
        <v>71.840460623493954</v>
      </c>
      <c r="P67" s="3">
        <f t="shared" si="57"/>
        <v>59.903214355960955</v>
      </c>
      <c r="Q67" s="3">
        <f t="shared" si="57"/>
        <v>96.399871809079386</v>
      </c>
      <c r="R67" s="3">
        <f t="shared" si="57"/>
        <v>86.084622324489288</v>
      </c>
      <c r="S67" s="3">
        <f t="shared" si="57"/>
        <v>87.162479692044869</v>
      </c>
      <c r="T67" s="3">
        <f>+((+T17+P17)/2)/(+T38+S38+R38+Q38)*$E$204</f>
        <v>68.922556268061683</v>
      </c>
      <c r="U67" s="3">
        <f>+((+U17+Q17)/2)/(+U38+T38+S38+R38)*$E$204</f>
        <v>94.861319512232285</v>
      </c>
      <c r="V67" s="3">
        <f>+((+V17+R17)/2)/(+V38+U38+T38+S38)*$E$204</f>
        <v>74.878562813505212</v>
      </c>
      <c r="W67" s="3">
        <f>+((+W17+S17)/2)/(+W38+V38+U38+T38)*$E$204</f>
        <v>79.573403775678898</v>
      </c>
      <c r="X67" s="3">
        <f>+((+X17+T17)/2)/(+X38+W38+V38+U38)*$D$204</f>
        <v>71.301991319994144</v>
      </c>
    </row>
    <row r="68" spans="2:24" x14ac:dyDescent="0.25">
      <c r="B68" s="1" t="s">
        <v>64</v>
      </c>
      <c r="C68" s="1" t="s">
        <v>130</v>
      </c>
      <c r="D68" s="5"/>
      <c r="E68" s="5"/>
      <c r="F68" s="5"/>
      <c r="G68" s="3">
        <f>+G62/(+G38+F38+E38+D38)*$E$204</f>
        <v>30.435262830868641</v>
      </c>
      <c r="H68" s="3">
        <f t="shared" ref="H68:S68" si="58">+H62/(+H38+G38+F38+E38)*$D$204</f>
        <v>25.473162108549943</v>
      </c>
      <c r="I68" s="3">
        <f t="shared" si="58"/>
        <v>23.098062338361299</v>
      </c>
      <c r="J68" s="3">
        <f t="shared" si="58"/>
        <v>35.496257696422298</v>
      </c>
      <c r="K68" s="3">
        <f t="shared" si="58"/>
        <v>41.11410750915158</v>
      </c>
      <c r="L68" s="3">
        <f t="shared" si="58"/>
        <v>38.574545476092524</v>
      </c>
      <c r="M68" s="3">
        <f t="shared" si="58"/>
        <v>31.312051990133856</v>
      </c>
      <c r="N68" s="3">
        <f t="shared" si="58"/>
        <v>46.313736229580634</v>
      </c>
      <c r="O68" s="3">
        <f t="shared" si="58"/>
        <v>58.142500735892554</v>
      </c>
      <c r="P68" s="3">
        <f t="shared" si="58"/>
        <v>55.81246696211246</v>
      </c>
      <c r="Q68" s="3">
        <f t="shared" si="58"/>
        <v>39.696529959635832</v>
      </c>
      <c r="R68" s="3">
        <f t="shared" si="58"/>
        <v>43.670022427246138</v>
      </c>
      <c r="S68" s="3">
        <f t="shared" si="58"/>
        <v>47.447534293227328</v>
      </c>
      <c r="T68" s="3">
        <f>+T62/(+T38+S38+R38+Q38)*$E$204</f>
        <v>48.53319657434556</v>
      </c>
      <c r="U68" s="3">
        <f>+U62/(+U38+T38+S38+R38)*$E$204</f>
        <v>33.989374802125866</v>
      </c>
      <c r="V68" s="3">
        <f>+V62/(+V38+U38+T38+S38)*$E$204</f>
        <v>44.81436360235346</v>
      </c>
      <c r="W68" s="3">
        <f>+W62/(+W38+V38+U38+T38)*$E$204</f>
        <v>45.592124657518411</v>
      </c>
      <c r="X68" s="3">
        <f>+X62/(+X38+W38+V38+U38)*$D$204</f>
        <v>46.777412278034063</v>
      </c>
    </row>
    <row r="70" spans="2:24" x14ac:dyDescent="0.25">
      <c r="B70" s="9" t="s">
        <v>149</v>
      </c>
    </row>
    <row r="72" spans="2:24" x14ac:dyDescent="0.25">
      <c r="B72" s="1" t="s">
        <v>139</v>
      </c>
      <c r="C72" s="1" t="s">
        <v>142</v>
      </c>
      <c r="G72" s="20">
        <f t="shared" ref="G72:X72" si="59">(+G39+F39+E39+D39)/(+G37+F37+E37+D37)</f>
        <v>0.1323315664396589</v>
      </c>
      <c r="H72" s="20">
        <f t="shared" si="59"/>
        <v>0.11338841451134613</v>
      </c>
      <c r="I72" s="20">
        <f t="shared" si="59"/>
        <v>0.10010566988359962</v>
      </c>
      <c r="J72" s="20">
        <f t="shared" si="59"/>
        <v>8.1914439347426746E-2</v>
      </c>
      <c r="K72" s="20">
        <f t="shared" si="59"/>
        <v>9.0498952870433011E-2</v>
      </c>
      <c r="L72" s="20">
        <f t="shared" si="59"/>
        <v>9.7984230164264885E-2</v>
      </c>
      <c r="M72" s="20">
        <f t="shared" si="59"/>
        <v>9.8415523572794872E-2</v>
      </c>
      <c r="N72" s="20">
        <f t="shared" si="59"/>
        <v>0.1043740999832975</v>
      </c>
      <c r="O72" s="20">
        <f t="shared" si="59"/>
        <v>9.6513924009237473E-2</v>
      </c>
      <c r="P72" s="20">
        <f t="shared" si="59"/>
        <v>9.4211885225936209E-2</v>
      </c>
      <c r="Q72" s="20">
        <f t="shared" si="59"/>
        <v>0.11135449922747193</v>
      </c>
      <c r="R72" s="20">
        <f t="shared" si="59"/>
        <v>0.12488287984007365</v>
      </c>
      <c r="S72" s="20">
        <f t="shared" si="59"/>
        <v>0.13765481382221134</v>
      </c>
      <c r="T72" s="20">
        <f t="shared" si="59"/>
        <v>0.14127541320396</v>
      </c>
      <c r="U72" s="20">
        <f t="shared" si="59"/>
        <v>0.14158339700632111</v>
      </c>
      <c r="V72" s="20">
        <f t="shared" si="59"/>
        <v>0.14314721910294659</v>
      </c>
      <c r="W72" s="20">
        <f t="shared" si="59"/>
        <v>0.14135976888947896</v>
      </c>
      <c r="X72" s="20">
        <f t="shared" si="59"/>
        <v>0.13250233443313753</v>
      </c>
    </row>
    <row r="73" spans="2:24" x14ac:dyDescent="0.25">
      <c r="B73" s="1" t="s">
        <v>140</v>
      </c>
      <c r="C73" s="1" t="s">
        <v>142</v>
      </c>
      <c r="G73" s="20">
        <f t="shared" ref="G73:X73" si="60">+(+G43+F43+E43+D43)/(+G37+F37+E37+D37)</f>
        <v>0.10320831990654335</v>
      </c>
      <c r="H73" s="20">
        <f t="shared" si="60"/>
        <v>8.5701493124015884E-2</v>
      </c>
      <c r="I73" s="20">
        <f t="shared" si="60"/>
        <v>7.4963037141372993E-2</v>
      </c>
      <c r="J73" s="20">
        <f t="shared" si="60"/>
        <v>5.1611428842057355E-2</v>
      </c>
      <c r="K73" s="20">
        <f t="shared" si="60"/>
        <v>5.227959732314244E-2</v>
      </c>
      <c r="L73" s="20">
        <f t="shared" si="60"/>
        <v>5.4830975663142462E-2</v>
      </c>
      <c r="M73" s="20">
        <f t="shared" si="60"/>
        <v>5.9077239389940771E-2</v>
      </c>
      <c r="N73" s="20">
        <f t="shared" si="60"/>
        <v>6.6073201107682E-2</v>
      </c>
      <c r="O73" s="20">
        <f t="shared" si="60"/>
        <v>6.6887471998568787E-2</v>
      </c>
      <c r="P73" s="20">
        <f t="shared" si="60"/>
        <v>7.3306841300661368E-2</v>
      </c>
      <c r="Q73" s="20">
        <f t="shared" si="60"/>
        <v>8.176421192155213E-2</v>
      </c>
      <c r="R73" s="20">
        <f t="shared" si="60"/>
        <v>9.8042753894647144E-2</v>
      </c>
      <c r="S73" s="20">
        <f t="shared" si="60"/>
        <v>0.10798191381378611</v>
      </c>
      <c r="T73" s="20">
        <f t="shared" si="60"/>
        <v>0.10904893841357152</v>
      </c>
      <c r="U73" s="20">
        <f t="shared" si="60"/>
        <v>0.10696213760292229</v>
      </c>
      <c r="V73" s="20">
        <f t="shared" si="60"/>
        <v>0.11017915240048747</v>
      </c>
      <c r="W73" s="20">
        <f t="shared" si="60"/>
        <v>0.11014043010305735</v>
      </c>
      <c r="X73" s="20">
        <f t="shared" si="60"/>
        <v>0.10271113843452326</v>
      </c>
    </row>
    <row r="74" spans="2:24" x14ac:dyDescent="0.25">
      <c r="B74" s="1" t="s">
        <v>141</v>
      </c>
      <c r="C74" s="1" t="s">
        <v>142</v>
      </c>
      <c r="G74" s="20">
        <f>+(+G43+F43+E43+D43)/((+G14+G14)/2)</f>
        <v>0.11744920796966497</v>
      </c>
      <c r="H74" s="20">
        <f>+(+H43+G43+F43+E43)/((+H14+G14)/2)</f>
        <v>0.10459972526081592</v>
      </c>
      <c r="I74" s="20">
        <f>+(+I43+H43+G43+F43)/((+I14+G14)/2)</f>
        <v>9.9037288248235267E-2</v>
      </c>
      <c r="J74" s="20">
        <f>+(+J43+I43+H43+G43)/((+J14+G14)/2)</f>
        <v>7.2159964109572997E-2</v>
      </c>
      <c r="K74" s="20">
        <f t="shared" ref="K74:X74" si="61">+(+K43+J43+I43+H43)/((+K14+G14)/2)</f>
        <v>7.5127761530462425E-2</v>
      </c>
      <c r="L74" s="20">
        <f t="shared" si="61"/>
        <v>7.8200650341106015E-2</v>
      </c>
      <c r="M74" s="20">
        <f t="shared" si="61"/>
        <v>8.301808683015284E-2</v>
      </c>
      <c r="N74" s="20">
        <f t="shared" si="61"/>
        <v>9.695017367071708E-2</v>
      </c>
      <c r="O74" s="20">
        <f t="shared" si="61"/>
        <v>9.9678817239017947E-2</v>
      </c>
      <c r="P74" s="20">
        <f t="shared" si="61"/>
        <v>0.11729753104520881</v>
      </c>
      <c r="Q74" s="20">
        <f t="shared" si="61"/>
        <v>0.1262366752744391</v>
      </c>
      <c r="R74" s="20">
        <f t="shared" si="61"/>
        <v>0.15784559712492341</v>
      </c>
      <c r="S74" s="20">
        <f t="shared" si="61"/>
        <v>0.17690168024587169</v>
      </c>
      <c r="T74" s="20">
        <f t="shared" si="61"/>
        <v>0.19787558795554785</v>
      </c>
      <c r="U74" s="20">
        <f t="shared" si="61"/>
        <v>0.18800751393955056</v>
      </c>
      <c r="V74" s="20">
        <f t="shared" si="61"/>
        <v>0.20623734399814467</v>
      </c>
      <c r="W74" s="20">
        <f t="shared" si="61"/>
        <v>0.20030310834134638</v>
      </c>
      <c r="X74" s="20">
        <f t="shared" si="61"/>
        <v>0.18986573120770572</v>
      </c>
    </row>
    <row r="75" spans="2:24" x14ac:dyDescent="0.25">
      <c r="B75" s="1" t="s">
        <v>148</v>
      </c>
      <c r="C75" s="1" t="s">
        <v>142</v>
      </c>
      <c r="G75" s="20">
        <f>(+G43+F43+E43+D43)/((+G22+G22)/2)</f>
        <v>0.29634930604085014</v>
      </c>
      <c r="H75" s="20">
        <f>(+H43+G43+F43+E43)/((+H22+G22)/2)</f>
        <v>0.26605882288467736</v>
      </c>
      <c r="I75" s="20">
        <f>(+I43+H43+G43+F43)/((+I22+G22)/2)</f>
        <v>0.23855316276524677</v>
      </c>
      <c r="J75" s="20">
        <f>(+J43+I43+H43+G43)/((+J22+G22)/2)</f>
        <v>0.1686298906791556</v>
      </c>
      <c r="K75" s="20">
        <f t="shared" ref="K75:X75" si="62">(+K43+J43+I43+H43)/((+K22+G22)/2)</f>
        <v>0.16744322142843437</v>
      </c>
      <c r="L75" s="20">
        <f t="shared" si="62"/>
        <v>0.17444423391165073</v>
      </c>
      <c r="M75" s="20">
        <f t="shared" si="62"/>
        <v>0.19024646939123402</v>
      </c>
      <c r="N75" s="20">
        <f t="shared" si="62"/>
        <v>0.21096064596098227</v>
      </c>
      <c r="O75" s="20">
        <f t="shared" si="62"/>
        <v>0.19559746437574491</v>
      </c>
      <c r="P75" s="20">
        <f t="shared" si="62"/>
        <v>0.21838610206177445</v>
      </c>
      <c r="Q75" s="20">
        <f t="shared" si="62"/>
        <v>0.27923464982047902</v>
      </c>
      <c r="R75" s="20">
        <f t="shared" si="62"/>
        <v>0.32177613347025474</v>
      </c>
      <c r="S75" s="20">
        <f t="shared" si="62"/>
        <v>0.32708204212086966</v>
      </c>
      <c r="T75" s="20">
        <f t="shared" si="62"/>
        <v>0.33716387922404317</v>
      </c>
      <c r="U75" s="20">
        <f t="shared" si="62"/>
        <v>0.38330560813176889</v>
      </c>
      <c r="V75" s="20">
        <f t="shared" si="62"/>
        <v>0.36567020082881385</v>
      </c>
      <c r="W75" s="20">
        <f t="shared" si="62"/>
        <v>0.33475933963415982</v>
      </c>
      <c r="X75" s="20">
        <f t="shared" si="62"/>
        <v>0.31236157091764011</v>
      </c>
    </row>
    <row r="77" spans="2:24" x14ac:dyDescent="0.25">
      <c r="B77" s="9" t="s">
        <v>65</v>
      </c>
      <c r="C77" s="11"/>
      <c r="D77" s="11"/>
      <c r="E77" s="11"/>
      <c r="F77" s="11"/>
    </row>
    <row r="79" spans="2:24" x14ac:dyDescent="0.25">
      <c r="B79" s="1" t="s">
        <v>69</v>
      </c>
      <c r="C79" s="1" t="s">
        <v>142</v>
      </c>
      <c r="D79" s="5"/>
      <c r="E79" s="5"/>
      <c r="F79" s="5"/>
      <c r="G79" s="20">
        <f t="shared" ref="G79:X79" si="63">+G18/G14</f>
        <v>0.6036798279072898</v>
      </c>
      <c r="H79" s="20">
        <f t="shared" si="63"/>
        <v>0.61004640358147688</v>
      </c>
      <c r="I79" s="20">
        <f t="shared" si="63"/>
        <v>0.56488766193785478</v>
      </c>
      <c r="J79" s="20">
        <f t="shared" si="63"/>
        <v>0.53744206602359634</v>
      </c>
      <c r="K79" s="20">
        <f t="shared" si="63"/>
        <v>0.49648392372813516</v>
      </c>
      <c r="L79" s="20">
        <f t="shared" si="63"/>
        <v>0.48976726152427458</v>
      </c>
      <c r="M79" s="20">
        <f t="shared" si="63"/>
        <v>0.56244865336040262</v>
      </c>
      <c r="N79" s="20">
        <f t="shared" si="63"/>
        <v>0.54318369387108179</v>
      </c>
      <c r="O79" s="20">
        <f t="shared" si="63"/>
        <v>0.48457964199241438</v>
      </c>
      <c r="P79" s="20">
        <f t="shared" si="63"/>
        <v>0.43644743304549394</v>
      </c>
      <c r="Q79" s="20">
        <f t="shared" si="63"/>
        <v>0.53385542144317089</v>
      </c>
      <c r="R79" s="20">
        <f t="shared" si="63"/>
        <v>0.47721513605729099</v>
      </c>
      <c r="S79" s="20">
        <f t="shared" si="63"/>
        <v>0.43663670139069616</v>
      </c>
      <c r="T79" s="20">
        <f t="shared" si="63"/>
        <v>0.39284235584722255</v>
      </c>
      <c r="U79" s="20">
        <f t="shared" si="63"/>
        <v>0.48869651086620236</v>
      </c>
      <c r="V79" s="20">
        <f t="shared" si="63"/>
        <v>0.40165288884339401</v>
      </c>
      <c r="W79" s="20">
        <f t="shared" si="63"/>
        <v>0.37241605696181884</v>
      </c>
      <c r="X79" s="20">
        <f t="shared" si="63"/>
        <v>0.39163434093518695</v>
      </c>
    </row>
    <row r="80" spans="2:24" x14ac:dyDescent="0.25">
      <c r="B80" s="1" t="s">
        <v>70</v>
      </c>
      <c r="C80" s="1" t="s">
        <v>142</v>
      </c>
      <c r="D80" s="5"/>
      <c r="E80" s="5"/>
      <c r="F80" s="5"/>
      <c r="G80" s="20">
        <f t="shared" ref="G80:X80" si="64">+G18/G22</f>
        <v>1.5232124691499995</v>
      </c>
      <c r="H80" s="20">
        <f t="shared" si="64"/>
        <v>1.5644076864128627</v>
      </c>
      <c r="I80" s="20">
        <f t="shared" si="64"/>
        <v>1.2982570534627642</v>
      </c>
      <c r="J80" s="20">
        <f t="shared" si="64"/>
        <v>1.1618913579180175</v>
      </c>
      <c r="K80" s="20">
        <f t="shared" si="64"/>
        <v>0.98603390661168722</v>
      </c>
      <c r="L80" s="20">
        <f t="shared" si="64"/>
        <v>0.95988991805467128</v>
      </c>
      <c r="M80" s="20">
        <f t="shared" si="64"/>
        <v>1.285446057199958</v>
      </c>
      <c r="N80" s="20">
        <f t="shared" si="64"/>
        <v>1.189063714634105</v>
      </c>
      <c r="O80" s="20">
        <f t="shared" si="64"/>
        <v>0.94016395445769851</v>
      </c>
      <c r="P80" s="20">
        <f t="shared" si="64"/>
        <v>0.77445735968181129</v>
      </c>
      <c r="Q80" s="20">
        <f t="shared" si="64"/>
        <v>1.1452571712749993</v>
      </c>
      <c r="R80" s="20">
        <f t="shared" si="64"/>
        <v>0.91283273287267175</v>
      </c>
      <c r="S80" s="20">
        <f t="shared" si="64"/>
        <v>0.77505350893208713</v>
      </c>
      <c r="T80" s="20">
        <f t="shared" si="64"/>
        <v>0.64701871026492863</v>
      </c>
      <c r="U80" s="20">
        <f t="shared" si="64"/>
        <v>0.95578559750121417</v>
      </c>
      <c r="V80" s="20">
        <f t="shared" si="64"/>
        <v>0.67127070784548171</v>
      </c>
      <c r="W80" s="20">
        <f t="shared" si="64"/>
        <v>0.59341234123824882</v>
      </c>
      <c r="X80" s="20">
        <f t="shared" si="64"/>
        <v>0.64374827063252049</v>
      </c>
    </row>
    <row r="81" spans="2:24" x14ac:dyDescent="0.25">
      <c r="B81" s="6" t="s">
        <v>145</v>
      </c>
      <c r="C81" s="6"/>
      <c r="D81" s="35"/>
      <c r="E81" s="35"/>
      <c r="F81" s="35"/>
      <c r="G81" s="7">
        <f t="shared" ref="G81:P82" si="65">+G39+F39+E39+D39</f>
        <v>214773.99999999994</v>
      </c>
      <c r="H81" s="7">
        <f t="shared" si="65"/>
        <v>196866.98163848132</v>
      </c>
      <c r="I81" s="7">
        <f t="shared" si="65"/>
        <v>183346.63696315122</v>
      </c>
      <c r="J81" s="7">
        <f t="shared" si="65"/>
        <v>156173.41890307987</v>
      </c>
      <c r="K81" s="7">
        <f t="shared" si="65"/>
        <v>181278</v>
      </c>
      <c r="L81" s="7">
        <f t="shared" si="65"/>
        <v>192491</v>
      </c>
      <c r="M81" s="7">
        <f t="shared" si="65"/>
        <v>192424</v>
      </c>
      <c r="N81" s="7">
        <f t="shared" si="65"/>
        <v>208092</v>
      </c>
      <c r="O81" s="7">
        <f t="shared" si="65"/>
        <v>200687</v>
      </c>
      <c r="P81" s="7">
        <f t="shared" si="65"/>
        <v>203061</v>
      </c>
      <c r="Q81" s="7">
        <f t="shared" ref="Q81:X82" si="66">+Q39+P39+O39+N39</f>
        <v>251025</v>
      </c>
      <c r="R81" s="7">
        <f t="shared" si="66"/>
        <v>291361</v>
      </c>
      <c r="S81" s="7">
        <f t="shared" si="66"/>
        <v>343106</v>
      </c>
      <c r="T81" s="7">
        <f t="shared" si="66"/>
        <v>374366</v>
      </c>
      <c r="U81" s="7">
        <f t="shared" si="66"/>
        <v>400619</v>
      </c>
      <c r="V81" s="7">
        <f t="shared" si="66"/>
        <v>436731</v>
      </c>
      <c r="W81" s="7">
        <f t="shared" si="66"/>
        <v>455707</v>
      </c>
      <c r="X81" s="7">
        <f t="shared" si="66"/>
        <v>439464</v>
      </c>
    </row>
    <row r="82" spans="2:24" x14ac:dyDescent="0.25">
      <c r="B82" s="6" t="s">
        <v>146</v>
      </c>
      <c r="C82" s="6"/>
      <c r="D82" s="35"/>
      <c r="E82" s="35"/>
      <c r="F82" s="35"/>
      <c r="G82" s="7">
        <f t="shared" si="65"/>
        <v>-1549</v>
      </c>
      <c r="H82" s="7">
        <f t="shared" si="65"/>
        <v>-2646.8707501903191</v>
      </c>
      <c r="I82" s="7">
        <f t="shared" si="65"/>
        <v>-6686.404784994299</v>
      </c>
      <c r="J82" s="7">
        <f t="shared" si="65"/>
        <v>-23725.509895032108</v>
      </c>
      <c r="K82" s="7">
        <f t="shared" si="65"/>
        <v>-42027</v>
      </c>
      <c r="L82" s="7">
        <f t="shared" si="65"/>
        <v>-50206</v>
      </c>
      <c r="M82" s="7">
        <f t="shared" si="65"/>
        <v>-35087</v>
      </c>
      <c r="N82" s="7">
        <f t="shared" si="65"/>
        <v>-34454</v>
      </c>
      <c r="O82" s="7">
        <f t="shared" si="65"/>
        <v>-18198</v>
      </c>
      <c r="P82" s="7">
        <f t="shared" si="65"/>
        <v>-630</v>
      </c>
      <c r="Q82" s="7">
        <f t="shared" si="66"/>
        <v>-19095</v>
      </c>
      <c r="R82" s="7">
        <f t="shared" si="66"/>
        <v>-4008</v>
      </c>
      <c r="S82" s="7">
        <f t="shared" si="66"/>
        <v>-12083</v>
      </c>
      <c r="T82" s="7">
        <f t="shared" si="66"/>
        <v>-22531</v>
      </c>
      <c r="U82" s="7">
        <f t="shared" si="66"/>
        <v>-33554</v>
      </c>
      <c r="V82" s="7">
        <f t="shared" si="66"/>
        <v>-33181</v>
      </c>
      <c r="W82" s="7">
        <f t="shared" si="66"/>
        <v>-30277</v>
      </c>
      <c r="X82" s="7">
        <f t="shared" si="66"/>
        <v>-27963</v>
      </c>
    </row>
    <row r="83" spans="2:24" ht="60" x14ac:dyDescent="0.25">
      <c r="B83" s="13" t="s">
        <v>147</v>
      </c>
      <c r="C83" s="1" t="s">
        <v>129</v>
      </c>
      <c r="D83" s="5"/>
      <c r="E83" s="5"/>
      <c r="F83" s="5"/>
      <c r="G83" s="55">
        <f t="shared" ref="G83:U83" si="67">+G81/-G82</f>
        <v>138.6533247256294</v>
      </c>
      <c r="H83" s="55">
        <f t="shared" si="67"/>
        <v>74.377255339848347</v>
      </c>
      <c r="I83" s="55">
        <f t="shared" si="67"/>
        <v>27.420810264825679</v>
      </c>
      <c r="J83" s="55">
        <f t="shared" si="67"/>
        <v>6.5825105379834667</v>
      </c>
      <c r="K83" s="55">
        <f t="shared" si="67"/>
        <v>4.313369976443715</v>
      </c>
      <c r="L83" s="55">
        <f t="shared" si="67"/>
        <v>3.8340238218539615</v>
      </c>
      <c r="M83" s="55">
        <f t="shared" si="67"/>
        <v>5.4841964260267337</v>
      </c>
      <c r="N83" s="55">
        <f t="shared" si="67"/>
        <v>6.0397051140651303</v>
      </c>
      <c r="O83" s="55">
        <f t="shared" si="67"/>
        <v>11.027970106605121</v>
      </c>
      <c r="P83" s="55">
        <f t="shared" si="67"/>
        <v>322.31904761904764</v>
      </c>
      <c r="Q83" s="55">
        <f t="shared" si="67"/>
        <v>13.14611154752553</v>
      </c>
      <c r="R83" s="55">
        <f t="shared" si="67"/>
        <v>72.694860279441116</v>
      </c>
      <c r="S83" s="55">
        <f t="shared" si="67"/>
        <v>28.395762641728048</v>
      </c>
      <c r="T83" s="55">
        <f t="shared" si="67"/>
        <v>16.61559628955661</v>
      </c>
      <c r="U83" s="55">
        <f t="shared" si="67"/>
        <v>11.939530309352088</v>
      </c>
      <c r="V83" s="55">
        <f>+V81/-V82</f>
        <v>13.162080708839396</v>
      </c>
      <c r="W83" s="55">
        <f>+W81/-W82</f>
        <v>15.051260032367804</v>
      </c>
      <c r="X83" s="55">
        <f>+X81/-X82</f>
        <v>15.715910310052569</v>
      </c>
    </row>
    <row r="85" spans="2:24" x14ac:dyDescent="0.25">
      <c r="B85" s="9" t="s">
        <v>66</v>
      </c>
      <c r="C85" s="11"/>
      <c r="D85" s="11"/>
      <c r="E85" s="11"/>
      <c r="F85" s="11"/>
    </row>
    <row r="87" spans="2:24" x14ac:dyDescent="0.25">
      <c r="B87" s="1" t="s">
        <v>68</v>
      </c>
      <c r="C87" s="1" t="s">
        <v>129</v>
      </c>
      <c r="D87" s="5"/>
      <c r="E87" s="5"/>
      <c r="F87" s="5"/>
      <c r="G87" s="4">
        <f t="shared" ref="G87:X87" si="68">(+G37+F37+E37+D37)/(+G38+F38+E38+D38)</f>
        <v>1.1525139803653535</v>
      </c>
      <c r="H87" s="4">
        <f t="shared" si="68"/>
        <v>1.1278896152127904</v>
      </c>
      <c r="I87" s="4">
        <f t="shared" si="68"/>
        <v>1.111241583076372</v>
      </c>
      <c r="J87" s="4">
        <f t="shared" si="68"/>
        <v>1.0892230995215764</v>
      </c>
      <c r="K87" s="4">
        <f t="shared" si="68"/>
        <v>1.0995039567640439</v>
      </c>
      <c r="L87" s="4">
        <f t="shared" si="68"/>
        <v>1.1086280677577385</v>
      </c>
      <c r="M87" s="4">
        <f t="shared" si="68"/>
        <v>1.1091584051699686</v>
      </c>
      <c r="N87" s="4">
        <f t="shared" si="68"/>
        <v>1.1165376079246381</v>
      </c>
      <c r="O87" s="4">
        <f t="shared" si="68"/>
        <v>1.1068239196751319</v>
      </c>
      <c r="P87" s="4">
        <f t="shared" si="68"/>
        <v>1.1040109532122047</v>
      </c>
      <c r="Q87" s="4">
        <f t="shared" si="68"/>
        <v>1.1253081224522803</v>
      </c>
      <c r="R87" s="4">
        <f t="shared" si="68"/>
        <v>1.1427041900600132</v>
      </c>
      <c r="S87" s="4">
        <f t="shared" si="68"/>
        <v>1.1596284365340346</v>
      </c>
      <c r="T87" s="4">
        <f t="shared" si="68"/>
        <v>1.1645177224179271</v>
      </c>
      <c r="U87" s="4">
        <f t="shared" si="68"/>
        <v>1.1649355295698582</v>
      </c>
      <c r="V87" s="4">
        <f t="shared" si="68"/>
        <v>1.1670616263310523</v>
      </c>
      <c r="W87" s="4">
        <f t="shared" si="68"/>
        <v>1.1646321285303061</v>
      </c>
      <c r="X87" s="4">
        <f t="shared" si="68"/>
        <v>1.1527408541745809</v>
      </c>
    </row>
    <row r="88" spans="2:24" x14ac:dyDescent="0.25">
      <c r="B88" s="1" t="s">
        <v>67</v>
      </c>
      <c r="C88" s="1" t="s">
        <v>129</v>
      </c>
      <c r="D88" s="5"/>
      <c r="E88" s="5"/>
      <c r="F88" s="5"/>
      <c r="G88" s="4">
        <f>+(1+G75)/(+G74+1)</f>
        <v>1.1600968498570379</v>
      </c>
      <c r="H88" s="4">
        <f t="shared" ref="H88:X88" si="69">+(1+H75)/(+H74+1)</f>
        <v>1.146169778908589</v>
      </c>
      <c r="I88" s="4">
        <f t="shared" si="69"/>
        <v>1.1269437133833622</v>
      </c>
      <c r="J88" s="4">
        <f t="shared" si="69"/>
        <v>1.08997717672633</v>
      </c>
      <c r="K88" s="4">
        <f t="shared" si="69"/>
        <v>1.0858646415813495</v>
      </c>
      <c r="L88" s="4">
        <f t="shared" si="69"/>
        <v>1.089263147392924</v>
      </c>
      <c r="M88" s="4">
        <f t="shared" si="69"/>
        <v>1.0990088566987133</v>
      </c>
      <c r="N88" s="4">
        <f t="shared" si="69"/>
        <v>1.1039340482610553</v>
      </c>
      <c r="O88" s="4">
        <f t="shared" si="69"/>
        <v>1.087224238234898</v>
      </c>
      <c r="P88" s="4">
        <f t="shared" si="69"/>
        <v>1.090475963839282</v>
      </c>
      <c r="Q88" s="4">
        <f t="shared" si="69"/>
        <v>1.1358488654338643</v>
      </c>
      <c r="R88" s="4">
        <f t="shared" si="69"/>
        <v>1.1415823808911927</v>
      </c>
      <c r="S88" s="4">
        <f t="shared" si="69"/>
        <v>1.1276065489545595</v>
      </c>
      <c r="T88" s="4">
        <f t="shared" si="69"/>
        <v>1.116279430576111</v>
      </c>
      <c r="U88" s="4">
        <f t="shared" si="69"/>
        <v>1.1643912954258939</v>
      </c>
      <c r="V88" s="4">
        <f t="shared" si="69"/>
        <v>1.1321737033129977</v>
      </c>
      <c r="W88" s="4">
        <f t="shared" si="69"/>
        <v>1.1120185646095788</v>
      </c>
      <c r="X88" s="4">
        <f t="shared" si="69"/>
        <v>1.1029492962921137</v>
      </c>
    </row>
    <row r="89" spans="2:24" x14ac:dyDescent="0.25">
      <c r="B89" s="1" t="s">
        <v>71</v>
      </c>
      <c r="C89" s="1" t="s">
        <v>129</v>
      </c>
      <c r="D89" s="5"/>
      <c r="E89" s="5"/>
      <c r="F89" s="5"/>
      <c r="G89" s="4">
        <f>+G88*G87</f>
        <v>1.3370278380380425</v>
      </c>
      <c r="H89" s="4">
        <f t="shared" ref="H89:X89" si="70">+H88*H87</f>
        <v>1.2927529909017375</v>
      </c>
      <c r="I89" s="4">
        <f t="shared" si="70"/>
        <v>1.2523067160980925</v>
      </c>
      <c r="J89" s="4">
        <f t="shared" si="70"/>
        <v>1.1872283188416302</v>
      </c>
      <c r="K89" s="4">
        <f t="shared" si="70"/>
        <v>1.1939124699288641</v>
      </c>
      <c r="L89" s="4">
        <f t="shared" si="70"/>
        <v>1.20758769837393</v>
      </c>
      <c r="M89" s="4">
        <f t="shared" si="70"/>
        <v>1.2189749107636154</v>
      </c>
      <c r="N89" s="4">
        <f t="shared" si="70"/>
        <v>1.2325838815519607</v>
      </c>
      <c r="O89" s="4">
        <f t="shared" si="70"/>
        <v>1.2033657929289592</v>
      </c>
      <c r="P89" s="4">
        <f t="shared" si="70"/>
        <v>1.2038974082932035</v>
      </c>
      <c r="Q89" s="4">
        <f t="shared" si="70"/>
        <v>1.2781799541509347</v>
      </c>
      <c r="R89" s="4">
        <f t="shared" si="70"/>
        <v>1.3044909699430518</v>
      </c>
      <c r="S89" s="4">
        <f t="shared" si="70"/>
        <v>1.3076046193897142</v>
      </c>
      <c r="T89" s="4">
        <f t="shared" si="70"/>
        <v>1.2999271800764733</v>
      </c>
      <c r="U89" s="4">
        <f t="shared" si="70"/>
        <v>1.356440790363497</v>
      </c>
      <c r="V89" s="4">
        <f t="shared" si="70"/>
        <v>1.3213164834777174</v>
      </c>
      <c r="W89" s="4">
        <f t="shared" si="70"/>
        <v>1.2950925478664694</v>
      </c>
      <c r="X89" s="4">
        <f t="shared" si="70"/>
        <v>1.2714147139190242</v>
      </c>
    </row>
    <row r="91" spans="2:24" x14ac:dyDescent="0.25">
      <c r="B91" s="9" t="s">
        <v>72</v>
      </c>
      <c r="C91" s="11"/>
      <c r="D91" s="11"/>
      <c r="E91" s="11"/>
      <c r="F91" s="11"/>
    </row>
    <row r="93" spans="2:24" x14ac:dyDescent="0.25">
      <c r="B93" s="1" t="s">
        <v>73</v>
      </c>
      <c r="C93" s="1" t="s">
        <v>150</v>
      </c>
      <c r="D93" s="5"/>
      <c r="E93" s="5"/>
      <c r="F93" s="5"/>
      <c r="G93" s="4">
        <f t="shared" ref="G93:X93" si="71">+G22/G48/1000</f>
        <v>322.99142857142857</v>
      </c>
      <c r="H93" s="4">
        <f t="shared" si="71"/>
        <v>316.16457142857143</v>
      </c>
      <c r="I93" s="4">
        <f t="shared" si="71"/>
        <v>334.76971428571426</v>
      </c>
      <c r="J93" s="4">
        <f t="shared" si="71"/>
        <v>343.892</v>
      </c>
      <c r="K93" s="4">
        <f t="shared" si="71"/>
        <v>391.76514285714285</v>
      </c>
      <c r="L93" s="4">
        <f t="shared" si="71"/>
        <v>389.52800000000002</v>
      </c>
      <c r="M93" s="4">
        <f t="shared" si="71"/>
        <v>359.12114285714284</v>
      </c>
      <c r="N93" s="4">
        <f t="shared" si="71"/>
        <v>369.74685714285715</v>
      </c>
      <c r="O93" s="4">
        <f t="shared" si="71"/>
        <v>420.88342857142857</v>
      </c>
      <c r="P93" s="4">
        <f t="shared" si="71"/>
        <v>434.8477272727273</v>
      </c>
      <c r="Q93" s="4">
        <f t="shared" si="71"/>
        <v>393.02159090909089</v>
      </c>
      <c r="R93" s="4">
        <f t="shared" si="71"/>
        <v>435.21516853932582</v>
      </c>
      <c r="S93" s="4">
        <f t="shared" si="71"/>
        <v>510.78314606741571</v>
      </c>
      <c r="T93" s="4">
        <f t="shared" si="71"/>
        <v>533.02471910112365</v>
      </c>
      <c r="U93" s="4">
        <f t="shared" si="71"/>
        <v>498.57921348314602</v>
      </c>
      <c r="V93" s="4">
        <f t="shared" si="71"/>
        <v>581.33770491803273</v>
      </c>
      <c r="W93" s="4">
        <f t="shared" si="71"/>
        <v>662.35792349726773</v>
      </c>
      <c r="X93" s="4">
        <f t="shared" si="71"/>
        <v>673.43551912568296</v>
      </c>
    </row>
    <row r="94" spans="2:24" x14ac:dyDescent="0.25">
      <c r="B94" s="1" t="s">
        <v>74</v>
      </c>
      <c r="C94" s="1" t="s">
        <v>150</v>
      </c>
      <c r="D94" s="5"/>
      <c r="E94" s="5"/>
      <c r="F94" s="5"/>
      <c r="G94" s="43">
        <f>(+G44+F44+E44+D44)/((+G48+G48)/2)/1000</f>
        <v>95.718285714285727</v>
      </c>
      <c r="H94" s="43">
        <f t="shared" ref="H94:X94" si="72">(+H44+G44+F44+E44)/((+H48+H48)/2)/1000</f>
        <v>87.157772011228175</v>
      </c>
      <c r="I94" s="43">
        <f t="shared" si="72"/>
        <v>79.824364237266224</v>
      </c>
      <c r="J94" s="43">
        <f t="shared" si="72"/>
        <v>59.87546733220546</v>
      </c>
      <c r="K94" s="43">
        <f t="shared" si="72"/>
        <v>59.84057142857143</v>
      </c>
      <c r="L94" s="43">
        <f t="shared" si="72"/>
        <v>61.552</v>
      </c>
      <c r="M94" s="43">
        <f t="shared" si="72"/>
        <v>66.005142857142857</v>
      </c>
      <c r="N94" s="43">
        <f t="shared" si="72"/>
        <v>75.274857142857144</v>
      </c>
      <c r="O94" s="43">
        <f t="shared" si="72"/>
        <v>79.475999999999999</v>
      </c>
      <c r="P94" s="43">
        <f t="shared" si="72"/>
        <v>89.774431818181824</v>
      </c>
      <c r="Q94" s="43">
        <f t="shared" si="72"/>
        <v>104.72727272727272</v>
      </c>
      <c r="R94" s="43">
        <f t="shared" si="72"/>
        <v>128.50617977528088</v>
      </c>
      <c r="S94" s="43">
        <f t="shared" si="72"/>
        <v>150.96910112359549</v>
      </c>
      <c r="T94" s="43">
        <f t="shared" si="72"/>
        <v>161.91292134831463</v>
      </c>
      <c r="U94" s="43">
        <f t="shared" si="72"/>
        <v>169.40280898876404</v>
      </c>
      <c r="V94" s="43">
        <f t="shared" si="72"/>
        <v>182.82732240437159</v>
      </c>
      <c r="W94" s="43">
        <f t="shared" si="72"/>
        <v>193.17814207650272</v>
      </c>
      <c r="X94" s="43">
        <f t="shared" si="72"/>
        <v>185.28524590163934</v>
      </c>
    </row>
    <row r="95" spans="2:24" x14ac:dyDescent="0.25">
      <c r="B95" s="1" t="s">
        <v>75</v>
      </c>
      <c r="C95" s="1" t="s">
        <v>124</v>
      </c>
      <c r="D95" s="5"/>
      <c r="E95" s="5"/>
      <c r="F95" s="5"/>
      <c r="G95" s="4">
        <f t="shared" ref="G95:X95" si="73">+G48*G54*1000</f>
        <v>1995000</v>
      </c>
      <c r="H95" s="4">
        <f t="shared" si="73"/>
        <v>1679125</v>
      </c>
      <c r="I95" s="4">
        <f t="shared" si="73"/>
        <v>2056250</v>
      </c>
      <c r="J95" s="4">
        <f t="shared" si="73"/>
        <v>2668750</v>
      </c>
      <c r="K95" s="4">
        <f t="shared" si="73"/>
        <v>2782500</v>
      </c>
      <c r="L95" s="4">
        <f t="shared" si="73"/>
        <v>3222625</v>
      </c>
      <c r="M95" s="4">
        <f t="shared" si="73"/>
        <v>3013500</v>
      </c>
      <c r="N95" s="4">
        <f t="shared" si="73"/>
        <v>3211250</v>
      </c>
      <c r="O95" s="4">
        <f t="shared" si="73"/>
        <v>3788750</v>
      </c>
      <c r="P95" s="4">
        <f t="shared" si="73"/>
        <v>3625600</v>
      </c>
      <c r="Q95" s="4">
        <f t="shared" si="73"/>
        <v>3942400</v>
      </c>
      <c r="R95" s="4">
        <f t="shared" si="73"/>
        <v>3515500</v>
      </c>
      <c r="S95" s="4">
        <f t="shared" si="73"/>
        <v>3588480</v>
      </c>
      <c r="T95" s="4">
        <f t="shared" si="73"/>
        <v>4690300</v>
      </c>
      <c r="U95" s="4">
        <f t="shared" si="73"/>
        <v>5768090</v>
      </c>
      <c r="V95" s="4">
        <f t="shared" si="73"/>
        <v>6222000</v>
      </c>
      <c r="W95" s="4">
        <f t="shared" si="73"/>
        <v>8326500</v>
      </c>
      <c r="X95" s="4">
        <f t="shared" si="73"/>
        <v>10339500</v>
      </c>
    </row>
    <row r="96" spans="2:24" x14ac:dyDescent="0.25">
      <c r="B96" s="1" t="s">
        <v>77</v>
      </c>
      <c r="C96" s="1" t="s">
        <v>129</v>
      </c>
      <c r="D96" s="5"/>
      <c r="E96" s="5"/>
      <c r="F96" s="5"/>
      <c r="G96" s="4">
        <f t="shared" ref="G96:X96" si="74">+G54/G93</f>
        <v>3.5295054269463142</v>
      </c>
      <c r="H96" s="4">
        <f t="shared" si="74"/>
        <v>3.0348118882028889</v>
      </c>
      <c r="I96" s="4">
        <f t="shared" si="74"/>
        <v>3.5098754452954442</v>
      </c>
      <c r="J96" s="4">
        <f t="shared" si="74"/>
        <v>4.4345317716027122</v>
      </c>
      <c r="K96" s="4">
        <f t="shared" si="74"/>
        <v>4.0585540316428652</v>
      </c>
      <c r="L96" s="4">
        <f t="shared" si="74"/>
        <v>4.7275163787969028</v>
      </c>
      <c r="M96" s="4">
        <f t="shared" si="74"/>
        <v>4.7950393182085795</v>
      </c>
      <c r="N96" s="4">
        <f t="shared" si="74"/>
        <v>4.9628548953183413</v>
      </c>
      <c r="O96" s="4">
        <f t="shared" si="74"/>
        <v>5.1439421298873391</v>
      </c>
      <c r="P96" s="4">
        <f t="shared" si="74"/>
        <v>4.7372904830844647</v>
      </c>
      <c r="Q96" s="4">
        <f t="shared" si="74"/>
        <v>5.6994324276656094</v>
      </c>
      <c r="R96" s="4">
        <f t="shared" si="74"/>
        <v>4.5379852145974553</v>
      </c>
      <c r="S96" s="4">
        <f t="shared" si="74"/>
        <v>3.946880423759946</v>
      </c>
      <c r="T96" s="4">
        <f t="shared" si="74"/>
        <v>4.9434855562488398</v>
      </c>
      <c r="U96" s="4">
        <f t="shared" si="74"/>
        <v>6.4994687150340695</v>
      </c>
      <c r="V96" s="4">
        <f t="shared" si="74"/>
        <v>5.8485798723125866</v>
      </c>
      <c r="W96" s="4">
        <f t="shared" si="74"/>
        <v>6.8693977056632418</v>
      </c>
      <c r="X96" s="4">
        <f t="shared" si="74"/>
        <v>8.3898158614136644</v>
      </c>
    </row>
    <row r="97" spans="2:24" x14ac:dyDescent="0.25">
      <c r="B97" s="28" t="s">
        <v>152</v>
      </c>
      <c r="C97" s="1" t="s">
        <v>129</v>
      </c>
      <c r="D97" s="5"/>
      <c r="E97" s="5"/>
      <c r="F97" s="5"/>
      <c r="G97" s="55" t="s">
        <v>155</v>
      </c>
      <c r="H97" s="55" t="s">
        <v>155</v>
      </c>
      <c r="I97" s="4">
        <f t="shared" ref="I97:X97" si="75">+I55/+I94</f>
        <v>15.082362528080585</v>
      </c>
      <c r="J97" s="4">
        <f t="shared" si="75"/>
        <v>19.742337320696983</v>
      </c>
      <c r="K97" s="4">
        <f t="shared" si="75"/>
        <v>21.167422113149332</v>
      </c>
      <c r="L97" s="4">
        <f t="shared" si="75"/>
        <v>23.599996492835068</v>
      </c>
      <c r="M97" s="4">
        <f t="shared" si="75"/>
        <v>24.796606544048021</v>
      </c>
      <c r="N97" s="4">
        <f t="shared" si="75"/>
        <v>22.913576604472709</v>
      </c>
      <c r="O97" s="4">
        <f t="shared" si="75"/>
        <v>23.395931095712488</v>
      </c>
      <c r="P97" s="4">
        <f t="shared" si="75"/>
        <v>21.307712636374241</v>
      </c>
      <c r="Q97" s="4">
        <f t="shared" si="75"/>
        <v>19.319953955314013</v>
      </c>
      <c r="R97" s="4">
        <f t="shared" si="75"/>
        <v>16.245312245089288</v>
      </c>
      <c r="S97" s="4">
        <f t="shared" si="75"/>
        <v>13.778854476966078</v>
      </c>
      <c r="T97" s="4">
        <f t="shared" si="75"/>
        <v>13.130428957782751</v>
      </c>
      <c r="U97" s="4">
        <f t="shared" si="75"/>
        <v>13.582668698417578</v>
      </c>
      <c r="V97" s="4">
        <f t="shared" si="75"/>
        <v>14.413626938366725</v>
      </c>
      <c r="W97" s="4">
        <f t="shared" si="75"/>
        <v>16.282042282887957</v>
      </c>
      <c r="X97" s="4">
        <f t="shared" si="75"/>
        <v>20.823879984623744</v>
      </c>
    </row>
    <row r="98" spans="2:24" x14ac:dyDescent="0.25">
      <c r="B98" s="1" t="s">
        <v>76</v>
      </c>
      <c r="C98" s="1" t="s">
        <v>142</v>
      </c>
      <c r="D98" s="5"/>
      <c r="E98" s="5"/>
      <c r="F98" s="5"/>
      <c r="G98" s="43">
        <v>0</v>
      </c>
      <c r="H98" s="43">
        <v>0</v>
      </c>
      <c r="I98" s="43">
        <v>0</v>
      </c>
      <c r="J98" s="43">
        <f>+J50/G94</f>
        <v>0</v>
      </c>
      <c r="K98" s="4">
        <f t="shared" ref="K98:M98" si="76">+J98</f>
        <v>0</v>
      </c>
      <c r="L98" s="4">
        <f t="shared" si="76"/>
        <v>0</v>
      </c>
      <c r="M98" s="4">
        <f t="shared" si="76"/>
        <v>0</v>
      </c>
      <c r="N98" s="43">
        <f>+N50/K94</f>
        <v>0.83555351839650116</v>
      </c>
      <c r="O98" s="4">
        <f t="shared" ref="O98:Q99" si="77">+N98</f>
        <v>0.83555351839650116</v>
      </c>
      <c r="P98" s="4">
        <f t="shared" si="77"/>
        <v>0.83555351839650116</v>
      </c>
      <c r="Q98" s="4">
        <f t="shared" si="77"/>
        <v>0.83555351839650116</v>
      </c>
      <c r="R98" s="43">
        <f>+R50/O94</f>
        <v>0.96708440283859276</v>
      </c>
      <c r="S98" s="4">
        <f t="shared" ref="S98:U99" si="78">+R98</f>
        <v>0.96708440283859276</v>
      </c>
      <c r="T98" s="4">
        <f t="shared" si="78"/>
        <v>0.96708440283859276</v>
      </c>
      <c r="U98" s="4">
        <f t="shared" si="78"/>
        <v>0.96708440283859276</v>
      </c>
      <c r="V98" s="43">
        <f>+V50/S94</f>
        <v>0.5124227369987906</v>
      </c>
      <c r="W98" s="4">
        <f>+V98</f>
        <v>0.5124227369987906</v>
      </c>
      <c r="X98" s="4">
        <f>+W98</f>
        <v>0.5124227369987906</v>
      </c>
    </row>
    <row r="99" spans="2:24" x14ac:dyDescent="0.25">
      <c r="B99" s="1" t="s">
        <v>153</v>
      </c>
      <c r="C99" s="1" t="s">
        <v>142</v>
      </c>
      <c r="D99" s="5"/>
      <c r="E99" s="5"/>
      <c r="F99" s="5"/>
      <c r="G99" s="43">
        <v>0</v>
      </c>
      <c r="H99" s="43">
        <v>0</v>
      </c>
      <c r="I99" s="43">
        <v>0</v>
      </c>
      <c r="J99" s="43">
        <f>+K50/K55</f>
        <v>0</v>
      </c>
      <c r="K99" s="43">
        <f>+J99</f>
        <v>0</v>
      </c>
      <c r="L99" s="43">
        <f>+K99</f>
        <v>0</v>
      </c>
      <c r="M99" s="43">
        <v>0</v>
      </c>
      <c r="N99" s="43">
        <f>+O50/O55</f>
        <v>2.689017753894293E-2</v>
      </c>
      <c r="O99" s="4">
        <f t="shared" si="77"/>
        <v>2.689017753894293E-2</v>
      </c>
      <c r="P99" s="4">
        <f t="shared" si="77"/>
        <v>2.689017753894293E-2</v>
      </c>
      <c r="Q99" s="4">
        <f t="shared" si="77"/>
        <v>2.689017753894293E-2</v>
      </c>
      <c r="R99" s="43">
        <f>+S50/S55</f>
        <v>3.6948702945939244E-2</v>
      </c>
      <c r="S99" s="4">
        <f t="shared" si="78"/>
        <v>3.6948702945939244E-2</v>
      </c>
      <c r="T99" s="4">
        <f t="shared" si="78"/>
        <v>3.6948702945939244E-2</v>
      </c>
      <c r="U99" s="4">
        <f t="shared" si="78"/>
        <v>3.6948702945939244E-2</v>
      </c>
      <c r="V99" s="43">
        <f>+W50/W55</f>
        <v>2.4595156933656222E-2</v>
      </c>
      <c r="W99" s="4">
        <f>+V99</f>
        <v>2.4595156933656222E-2</v>
      </c>
      <c r="X99" s="4">
        <f>+W99</f>
        <v>2.4595156933656222E-2</v>
      </c>
    </row>
    <row r="100" spans="2:24" x14ac:dyDescent="0.25">
      <c r="B100" s="28" t="s">
        <v>154</v>
      </c>
      <c r="C100" s="28" t="s">
        <v>142</v>
      </c>
      <c r="D100" s="5"/>
      <c r="E100" s="5"/>
      <c r="F100" s="5"/>
      <c r="G100" s="55" t="s">
        <v>155</v>
      </c>
      <c r="H100" s="4">
        <f t="shared" ref="H100:I100" si="79">+H50/H54</f>
        <v>0</v>
      </c>
      <c r="I100" s="4">
        <f t="shared" si="79"/>
        <v>0</v>
      </c>
      <c r="J100" s="4">
        <f t="shared" ref="J100:X100" si="80">+J50/J54</f>
        <v>0</v>
      </c>
      <c r="K100" s="4">
        <f t="shared" si="80"/>
        <v>0</v>
      </c>
      <c r="L100" s="4">
        <f t="shared" si="80"/>
        <v>0</v>
      </c>
      <c r="M100" s="4">
        <f t="shared" si="80"/>
        <v>0</v>
      </c>
      <c r="N100" s="4">
        <f t="shared" si="80"/>
        <v>2.7247956403269755E-2</v>
      </c>
      <c r="O100" s="4">
        <f t="shared" si="80"/>
        <v>2.3094688221709007E-2</v>
      </c>
      <c r="P100" s="4">
        <f t="shared" si="80"/>
        <v>2.4271844660194174E-2</v>
      </c>
      <c r="Q100" s="4">
        <f t="shared" si="80"/>
        <v>2.2321428571428572E-2</v>
      </c>
      <c r="R100" s="4">
        <f t="shared" si="80"/>
        <v>3.8916455696202529E-2</v>
      </c>
      <c r="S100" s="4">
        <f t="shared" si="80"/>
        <v>3.8124999999999999E-2</v>
      </c>
      <c r="T100" s="4">
        <f t="shared" si="80"/>
        <v>2.9168880455407969E-2</v>
      </c>
      <c r="U100" s="4">
        <f t="shared" si="80"/>
        <v>2.3718561950316307E-2</v>
      </c>
      <c r="V100" s="4">
        <f t="shared" si="80"/>
        <v>2.2752941176470587E-2</v>
      </c>
      <c r="W100" s="4">
        <f t="shared" si="80"/>
        <v>1.7002197802197801E-2</v>
      </c>
      <c r="X100" s="4">
        <f t="shared" si="80"/>
        <v>1.3692035398230088E-2</v>
      </c>
    </row>
    <row r="102" spans="2:24" ht="30" x14ac:dyDescent="0.25">
      <c r="B102" s="12" t="s">
        <v>78</v>
      </c>
      <c r="C102" s="32"/>
      <c r="D102" s="32"/>
      <c r="E102" s="32"/>
      <c r="F102" s="32"/>
    </row>
    <row r="104" spans="2:24" x14ac:dyDescent="0.25">
      <c r="B104" s="6" t="s">
        <v>79</v>
      </c>
      <c r="C104" s="6"/>
      <c r="D104" s="35"/>
      <c r="E104" s="35"/>
      <c r="F104" s="35"/>
      <c r="G104" s="45">
        <f>(+G61/G14)*1.2</f>
        <v>9.8529527249882204E-2</v>
      </c>
      <c r="H104" s="45">
        <f t="shared" ref="H104:X104" si="81">+H61/H14</f>
        <v>6.8899169471743432E-2</v>
      </c>
      <c r="I104" s="45">
        <f t="shared" si="81"/>
        <v>6.7956896289215835E-2</v>
      </c>
      <c r="J104" s="45">
        <f t="shared" si="81"/>
        <v>0.17166442488759079</v>
      </c>
      <c r="K104" s="45">
        <f t="shared" si="81"/>
        <v>0.21542329151742468</v>
      </c>
      <c r="L104" s="45">
        <f t="shared" si="81"/>
        <v>0.20717646477635579</v>
      </c>
      <c r="M104" s="45">
        <f t="shared" si="81"/>
        <v>0.14686809866352529</v>
      </c>
      <c r="N104" s="45">
        <f t="shared" si="81"/>
        <v>0.16223669189642551</v>
      </c>
      <c r="O104" s="45">
        <f t="shared" si="81"/>
        <v>0.21357503743824438</v>
      </c>
      <c r="P104" s="45">
        <f t="shared" si="81"/>
        <v>0.23582948774307849</v>
      </c>
      <c r="Q104" s="45">
        <f t="shared" si="81"/>
        <v>0.15148529597085544</v>
      </c>
      <c r="R104" s="45">
        <f t="shared" si="81"/>
        <v>0.17461883510961718</v>
      </c>
      <c r="S104" s="45">
        <f t="shared" si="81"/>
        <v>0.15714606151184607</v>
      </c>
      <c r="T104" s="45">
        <f t="shared" si="81"/>
        <v>0.18124422061030354</v>
      </c>
      <c r="U104" s="45">
        <f t="shared" si="81"/>
        <v>0.13040652692309687</v>
      </c>
      <c r="V104" s="45">
        <f t="shared" si="81"/>
        <v>0.21452740135142279</v>
      </c>
      <c r="W104" s="45">
        <f t="shared" si="81"/>
        <v>0.2257467255600733</v>
      </c>
      <c r="X104" s="45">
        <f t="shared" si="81"/>
        <v>0.22423526484721093</v>
      </c>
    </row>
    <row r="105" spans="2:24" x14ac:dyDescent="0.25">
      <c r="B105" s="6" t="s">
        <v>156</v>
      </c>
      <c r="C105" s="6"/>
      <c r="D105" s="35"/>
      <c r="E105" s="35"/>
      <c r="F105" s="35"/>
      <c r="G105" s="45">
        <f>(+(+G22-G43-F43-E43-D43)/+G14)*1.4</f>
        <v>0.39041934977226334</v>
      </c>
      <c r="H105" s="45">
        <f t="shared" ref="H105:X105" si="82">+(+H22-H43-G43-F43-E43)/+H14</f>
        <v>0.28508287213450911</v>
      </c>
      <c r="I105" s="45">
        <f t="shared" si="82"/>
        <v>0.33314087889571969</v>
      </c>
      <c r="J105" s="45">
        <f t="shared" si="82"/>
        <v>0.3869271590647762</v>
      </c>
      <c r="K105" s="45">
        <f t="shared" si="82"/>
        <v>0.42660599308315272</v>
      </c>
      <c r="L105" s="45">
        <f t="shared" si="82"/>
        <v>0.42960735206279016</v>
      </c>
      <c r="M105" s="45">
        <f t="shared" si="82"/>
        <v>0.35713102130728891</v>
      </c>
      <c r="N105" s="45">
        <f t="shared" si="82"/>
        <v>0.36381542858232102</v>
      </c>
      <c r="O105" s="45">
        <f t="shared" si="82"/>
        <v>0.41809281885487959</v>
      </c>
      <c r="P105" s="45">
        <f t="shared" si="82"/>
        <v>0.44720698590404323</v>
      </c>
      <c r="Q105" s="45">
        <f t="shared" si="82"/>
        <v>0.34193244482661722</v>
      </c>
      <c r="R105" s="45">
        <f t="shared" si="82"/>
        <v>0.36842194057519068</v>
      </c>
      <c r="S105" s="45">
        <f t="shared" si="82"/>
        <v>0.39659253420973711</v>
      </c>
      <c r="T105" s="45">
        <f t="shared" si="82"/>
        <v>0.42223701177155692</v>
      </c>
      <c r="U105" s="45">
        <f t="shared" si="82"/>
        <v>0.33693264343035645</v>
      </c>
      <c r="V105" s="45">
        <f t="shared" si="82"/>
        <v>0.40928515425950152</v>
      </c>
      <c r="W105" s="45">
        <f t="shared" si="82"/>
        <v>0.44374621712033607</v>
      </c>
      <c r="X105" s="45">
        <f t="shared" si="82"/>
        <v>0.44020093457482573</v>
      </c>
    </row>
    <row r="106" spans="2:24" x14ac:dyDescent="0.25">
      <c r="B106" s="6" t="s">
        <v>80</v>
      </c>
      <c r="C106" s="6"/>
      <c r="D106" s="35"/>
      <c r="E106" s="35"/>
      <c r="F106" s="35"/>
      <c r="G106" s="45">
        <f>((+G39+F39+E39+D39)/+G14)*3.3</f>
        <v>0.49695009423590375</v>
      </c>
      <c r="H106" s="45">
        <f t="shared" ref="H106:X106" si="83">(+H39+G39+F39+E39)/+H14</f>
        <v>0.13875050155793212</v>
      </c>
      <c r="I106" s="45">
        <f t="shared" si="83"/>
        <v>0.13617272749517889</v>
      </c>
      <c r="J106" s="45">
        <f t="shared" si="83"/>
        <v>0.12003644664162014</v>
      </c>
      <c r="K106" s="45">
        <f t="shared" si="83"/>
        <v>0.1331357231145936</v>
      </c>
      <c r="L106" s="45">
        <f t="shared" si="83"/>
        <v>0.14407944275699361</v>
      </c>
      <c r="M106" s="45">
        <f t="shared" si="83"/>
        <v>0.13397051902227644</v>
      </c>
      <c r="N106" s="45">
        <f t="shared" si="83"/>
        <v>0.14691104303790675</v>
      </c>
      <c r="O106" s="45">
        <f t="shared" si="83"/>
        <v>0.14043680284390703</v>
      </c>
      <c r="P106" s="45">
        <f t="shared" si="83"/>
        <v>0.14952405988296447</v>
      </c>
      <c r="Q106" s="45">
        <f t="shared" si="83"/>
        <v>0.16916422997844213</v>
      </c>
      <c r="R106" s="45">
        <f t="shared" si="83"/>
        <v>0.19662122538278451</v>
      </c>
      <c r="S106" s="45">
        <f t="shared" si="83"/>
        <v>0.21259855205010572</v>
      </c>
      <c r="T106" s="45">
        <f t="shared" si="83"/>
        <v>0.23956894151977551</v>
      </c>
      <c r="U106" s="45">
        <f t="shared" si="83"/>
        <v>0.23081080115664951</v>
      </c>
      <c r="V106" s="45">
        <f t="shared" si="83"/>
        <v>0.24563352302446936</v>
      </c>
      <c r="W106" s="45">
        <f t="shared" si="83"/>
        <v>0.23594658586858541</v>
      </c>
      <c r="X106" s="45">
        <f t="shared" si="83"/>
        <v>0.21694062497840289</v>
      </c>
    </row>
    <row r="107" spans="2:24" x14ac:dyDescent="0.25">
      <c r="B107" s="6" t="s">
        <v>81</v>
      </c>
      <c r="C107" s="6"/>
      <c r="D107" s="35"/>
      <c r="E107" s="35"/>
      <c r="F107" s="35"/>
      <c r="G107" s="45">
        <f t="shared" ref="G107:X107" si="84">+G95/+G18</f>
        <v>2.3171458338414794</v>
      </c>
      <c r="H107" s="45">
        <f t="shared" si="84"/>
        <v>1.9399111334984658</v>
      </c>
      <c r="I107" s="45">
        <f t="shared" si="84"/>
        <v>2.7035288858502722</v>
      </c>
      <c r="J107" s="45">
        <f t="shared" si="84"/>
        <v>3.8166492429627068</v>
      </c>
      <c r="K107" s="45">
        <f t="shared" si="84"/>
        <v>4.1160390169434358</v>
      </c>
      <c r="L107" s="45">
        <f t="shared" si="84"/>
        <v>4.9250609782190082</v>
      </c>
      <c r="M107" s="45">
        <f t="shared" si="84"/>
        <v>3.730253238827808</v>
      </c>
      <c r="N107" s="45">
        <f t="shared" si="84"/>
        <v>4.1737501819618608</v>
      </c>
      <c r="O107" s="45">
        <f t="shared" si="84"/>
        <v>5.4713245551457526</v>
      </c>
      <c r="P107" s="45">
        <f t="shared" si="84"/>
        <v>6.1169158299829434</v>
      </c>
      <c r="Q107" s="45">
        <f t="shared" si="84"/>
        <v>4.9765524902328337</v>
      </c>
      <c r="R107" s="45">
        <f t="shared" si="84"/>
        <v>4.9713217451312017</v>
      </c>
      <c r="S107" s="45">
        <f t="shared" si="84"/>
        <v>5.0923973355054963</v>
      </c>
      <c r="T107" s="45">
        <f t="shared" si="84"/>
        <v>7.6404058767090035</v>
      </c>
      <c r="U107" s="45">
        <f t="shared" si="84"/>
        <v>6.8001325109168249</v>
      </c>
      <c r="V107" s="45">
        <f t="shared" si="84"/>
        <v>8.7126993684623244</v>
      </c>
      <c r="W107" s="45">
        <f t="shared" si="84"/>
        <v>11.576095116810606</v>
      </c>
      <c r="X107" s="45">
        <f t="shared" si="84"/>
        <v>13.032758679367289</v>
      </c>
    </row>
    <row r="108" spans="2:24" ht="30" x14ac:dyDescent="0.25">
      <c r="B108" s="47" t="s">
        <v>159</v>
      </c>
      <c r="C108" s="6"/>
      <c r="D108" s="35"/>
      <c r="E108" s="35"/>
      <c r="F108" s="35"/>
      <c r="G108" s="45">
        <f>(+G22/G18)*0.6</f>
        <v>0.39390433846357548</v>
      </c>
      <c r="H108" s="45">
        <f t="shared" ref="H108:X108" si="85">+H22/H18</f>
        <v>0.63921956449406636</v>
      </c>
      <c r="I108" s="45">
        <f t="shared" si="85"/>
        <v>0.77026348313129456</v>
      </c>
      <c r="J108" s="45">
        <f t="shared" si="85"/>
        <v>0.86066566653175813</v>
      </c>
      <c r="K108" s="45">
        <f t="shared" si="85"/>
        <v>1.0141639078480624</v>
      </c>
      <c r="L108" s="45">
        <f t="shared" si="85"/>
        <v>1.0417861269202791</v>
      </c>
      <c r="M108" s="45">
        <f t="shared" si="85"/>
        <v>0.77794007333008197</v>
      </c>
      <c r="N108" s="45">
        <f t="shared" si="85"/>
        <v>0.84099782685549107</v>
      </c>
      <c r="O108" s="45">
        <f t="shared" si="85"/>
        <v>1.0636442667883559</v>
      </c>
      <c r="P108" s="45">
        <f t="shared" si="85"/>
        <v>1.2912266731003159</v>
      </c>
      <c r="Q108" s="45">
        <f t="shared" si="85"/>
        <v>0.87316632899727975</v>
      </c>
      <c r="R108" s="45">
        <f t="shared" si="85"/>
        <v>1.0954909524913881</v>
      </c>
      <c r="S108" s="45">
        <f t="shared" si="85"/>
        <v>1.2902334980430668</v>
      </c>
      <c r="T108" s="45">
        <f t="shared" si="85"/>
        <v>1.5455503591086872</v>
      </c>
      <c r="U108" s="45">
        <f t="shared" si="85"/>
        <v>1.0462597496911223</v>
      </c>
      <c r="V108" s="45">
        <f t="shared" si="85"/>
        <v>1.489711957206671</v>
      </c>
      <c r="W108" s="45">
        <f t="shared" si="85"/>
        <v>1.6851688623686889</v>
      </c>
      <c r="X108" s="45">
        <f t="shared" si="85"/>
        <v>1.5534022313060993</v>
      </c>
    </row>
    <row r="109" spans="2:24" x14ac:dyDescent="0.25">
      <c r="B109" s="6" t="s">
        <v>82</v>
      </c>
      <c r="C109" s="6"/>
      <c r="D109" s="35"/>
      <c r="E109" s="35"/>
      <c r="F109" s="35"/>
      <c r="G109" s="45">
        <f>(+(+G37+F37+E37+D37)/+G14)*0.999</f>
        <v>1.1368439954059997</v>
      </c>
      <c r="H109" s="45">
        <f t="shared" ref="H109:X109" si="86">+(+H37+G37+F37+E37)/+H14</f>
        <v>1.2236744129096906</v>
      </c>
      <c r="I109" s="45">
        <f t="shared" si="86"/>
        <v>1.3602898582419671</v>
      </c>
      <c r="J109" s="45">
        <f t="shared" si="86"/>
        <v>1.4653881244612457</v>
      </c>
      <c r="K109" s="45">
        <f t="shared" si="86"/>
        <v>1.4711299842905752</v>
      </c>
      <c r="L109" s="45">
        <f t="shared" si="86"/>
        <v>1.4704350130164086</v>
      </c>
      <c r="M109" s="45">
        <f t="shared" si="86"/>
        <v>1.3612742599817866</v>
      </c>
      <c r="N109" s="45">
        <f t="shared" si="86"/>
        <v>1.4075430883851094</v>
      </c>
      <c r="O109" s="45">
        <f t="shared" si="86"/>
        <v>1.4550937005780185</v>
      </c>
      <c r="P109" s="45">
        <f t="shared" si="86"/>
        <v>1.5871039999293104</v>
      </c>
      <c r="Q109" s="45">
        <f t="shared" si="86"/>
        <v>1.519150381457673</v>
      </c>
      <c r="R109" s="45">
        <f t="shared" si="86"/>
        <v>1.5744449970610843</v>
      </c>
      <c r="S109" s="45">
        <f t="shared" si="86"/>
        <v>1.5444323823261878</v>
      </c>
      <c r="T109" s="45">
        <f t="shared" si="86"/>
        <v>1.6957582079332423</v>
      </c>
      <c r="U109" s="45">
        <f t="shared" si="86"/>
        <v>1.6302109289434885</v>
      </c>
      <c r="V109" s="45">
        <f t="shared" si="86"/>
        <v>1.7159503660900191</v>
      </c>
      <c r="W109" s="45">
        <f t="shared" si="86"/>
        <v>1.6691211914265256</v>
      </c>
      <c r="X109" s="45">
        <f t="shared" si="86"/>
        <v>1.6372588898641185</v>
      </c>
    </row>
    <row r="111" spans="2:24" x14ac:dyDescent="0.25">
      <c r="B111" s="1" t="s">
        <v>157</v>
      </c>
      <c r="C111" s="1"/>
      <c r="G111" s="46">
        <f t="shared" ref="G111:J111" si="87">+G104+G105+G106+G107+G109</f>
        <v>4.4398888005055284</v>
      </c>
      <c r="H111" s="46">
        <f t="shared" si="87"/>
        <v>3.6563180895723413</v>
      </c>
      <c r="I111" s="46">
        <f t="shared" si="87"/>
        <v>4.6010892467723536</v>
      </c>
      <c r="J111" s="46">
        <f t="shared" si="87"/>
        <v>5.9606653980179392</v>
      </c>
      <c r="K111" s="46">
        <f t="shared" ref="K111:X111" si="88">+K104+K105+K106+K107+K109</f>
        <v>6.3623340089491816</v>
      </c>
      <c r="L111" s="46">
        <f t="shared" ref="L111" si="89">+L104+L105+L106+L107+L109</f>
        <v>7.1763592508315561</v>
      </c>
      <c r="M111" s="46">
        <f t="shared" si="88"/>
        <v>5.7294971378026851</v>
      </c>
      <c r="N111" s="46">
        <f t="shared" si="88"/>
        <v>6.254256433863624</v>
      </c>
      <c r="O111" s="46">
        <f t="shared" si="88"/>
        <v>7.6985229148608019</v>
      </c>
      <c r="P111" s="46">
        <f t="shared" si="88"/>
        <v>8.5365803634423401</v>
      </c>
      <c r="Q111" s="46">
        <f t="shared" si="88"/>
        <v>7.158284842466422</v>
      </c>
      <c r="R111" s="46">
        <f t="shared" si="88"/>
        <v>7.2854287432598781</v>
      </c>
      <c r="S111" s="46">
        <f t="shared" si="88"/>
        <v>7.4031668656033736</v>
      </c>
      <c r="T111" s="46">
        <f t="shared" si="88"/>
        <v>10.179214258543881</v>
      </c>
      <c r="U111" s="46">
        <f t="shared" si="88"/>
        <v>9.1284934113704157</v>
      </c>
      <c r="V111" s="46">
        <f t="shared" si="88"/>
        <v>11.298095813187736</v>
      </c>
      <c r="W111" s="46">
        <f t="shared" si="88"/>
        <v>14.150655836786125</v>
      </c>
      <c r="X111" s="46">
        <f t="shared" si="88"/>
        <v>15.551394393631846</v>
      </c>
    </row>
    <row r="112" spans="2:24" ht="30" x14ac:dyDescent="0.25">
      <c r="B112" s="47" t="s">
        <v>158</v>
      </c>
      <c r="C112" s="1"/>
      <c r="G112" s="46">
        <f t="shared" ref="G112:J112" si="90">+G104+G105+G106+G108+G109</f>
        <v>2.5166473051276244</v>
      </c>
      <c r="H112" s="46">
        <f t="shared" si="90"/>
        <v>2.3556265205679416</v>
      </c>
      <c r="I112" s="46">
        <f t="shared" si="90"/>
        <v>2.6678238440533759</v>
      </c>
      <c r="J112" s="46">
        <f t="shared" si="90"/>
        <v>3.004681821586991</v>
      </c>
      <c r="K112" s="46">
        <f t="shared" ref="K112:X112" si="91">+K104+K105+K106+K108+K109</f>
        <v>3.2604588998538087</v>
      </c>
      <c r="L112" s="46">
        <f t="shared" ref="L112" si="92">+L104+L105+L106+L108+L109</f>
        <v>3.2930843995328272</v>
      </c>
      <c r="M112" s="46">
        <f t="shared" si="91"/>
        <v>2.7771839723049592</v>
      </c>
      <c r="N112" s="46">
        <f t="shared" si="91"/>
        <v>2.9215040787572537</v>
      </c>
      <c r="O112" s="46">
        <f t="shared" si="91"/>
        <v>3.2908426265034052</v>
      </c>
      <c r="P112" s="46">
        <f t="shared" si="91"/>
        <v>3.7108912065597126</v>
      </c>
      <c r="Q112" s="46">
        <f t="shared" si="91"/>
        <v>3.0548986812308678</v>
      </c>
      <c r="R112" s="46">
        <f t="shared" si="91"/>
        <v>3.4095979506200651</v>
      </c>
      <c r="S112" s="46">
        <f t="shared" si="91"/>
        <v>3.6010030281409433</v>
      </c>
      <c r="T112" s="46">
        <f t="shared" si="91"/>
        <v>4.084358740943566</v>
      </c>
      <c r="U112" s="46">
        <f t="shared" si="91"/>
        <v>3.3746206501447134</v>
      </c>
      <c r="V112" s="46">
        <f t="shared" si="91"/>
        <v>4.0751084019320842</v>
      </c>
      <c r="W112" s="46">
        <f t="shared" si="91"/>
        <v>4.2597295823442094</v>
      </c>
      <c r="X112" s="46">
        <f t="shared" si="91"/>
        <v>4.0720379455706572</v>
      </c>
    </row>
    <row r="114" spans="2:24" x14ac:dyDescent="0.25">
      <c r="B114" s="9" t="s">
        <v>83</v>
      </c>
      <c r="C114" s="11"/>
      <c r="D114" s="11"/>
      <c r="E114" s="11"/>
      <c r="F114" s="11"/>
    </row>
    <row r="116" spans="2:24" ht="30" x14ac:dyDescent="0.25">
      <c r="B116" s="13" t="s">
        <v>84</v>
      </c>
      <c r="C116" s="13" t="s">
        <v>150</v>
      </c>
      <c r="D116" s="34"/>
      <c r="E116" s="34"/>
      <c r="F116" s="34"/>
      <c r="G116" s="4">
        <f t="shared" ref="G116:X116" si="93">(+G14-G17)/G48/1000</f>
        <v>507.17200000000003</v>
      </c>
      <c r="H116" s="4">
        <f t="shared" si="93"/>
        <v>503.16285714285715</v>
      </c>
      <c r="I116" s="4">
        <f t="shared" si="93"/>
        <v>493.03257142857143</v>
      </c>
      <c r="J116" s="4">
        <f t="shared" si="93"/>
        <v>561.94742857142853</v>
      </c>
      <c r="K116" s="4">
        <f t="shared" si="93"/>
        <v>590.46514285714284</v>
      </c>
      <c r="L116" s="4">
        <f t="shared" si="93"/>
        <v>585.92628571428565</v>
      </c>
      <c r="M116" s="4">
        <f t="shared" si="93"/>
        <v>536.66914285714279</v>
      </c>
      <c r="N116" s="4">
        <f t="shared" si="93"/>
        <v>546.67771428571427</v>
      </c>
      <c r="O116" s="4">
        <f t="shared" si="93"/>
        <v>581.58685714285718</v>
      </c>
      <c r="P116" s="4">
        <f t="shared" si="93"/>
        <v>584.01477272727266</v>
      </c>
      <c r="Q116" s="4">
        <f t="shared" si="93"/>
        <v>524.37386363636369</v>
      </c>
      <c r="R116" s="4">
        <f t="shared" si="93"/>
        <v>549.73764044943823</v>
      </c>
      <c r="S116" s="4">
        <f t="shared" si="93"/>
        <v>560.98314606741576</v>
      </c>
      <c r="T116" s="4">
        <f t="shared" si="93"/>
        <v>581.92247191011234</v>
      </c>
      <c r="U116" s="4">
        <f t="shared" si="93"/>
        <v>582.93932584269658</v>
      </c>
      <c r="V116" s="4">
        <f t="shared" si="93"/>
        <v>662.09234972677586</v>
      </c>
      <c r="W116" s="4">
        <f t="shared" si="93"/>
        <v>733.93497267759551</v>
      </c>
      <c r="X116" s="4">
        <f t="shared" si="93"/>
        <v>780.58579234972683</v>
      </c>
    </row>
    <row r="117" spans="2:24" x14ac:dyDescent="0.25">
      <c r="B117" s="1" t="s">
        <v>138</v>
      </c>
      <c r="C117" s="1" t="s">
        <v>150</v>
      </c>
      <c r="D117" s="5"/>
      <c r="E117" s="5"/>
      <c r="F117" s="5"/>
      <c r="G117" s="4">
        <f t="shared" ref="G117:X117" si="94">-G16/+G48/1000</f>
        <v>-184.18057142857143</v>
      </c>
      <c r="H117" s="4">
        <f t="shared" si="94"/>
        <v>-186.99828571428571</v>
      </c>
      <c r="I117" s="4">
        <f t="shared" si="94"/>
        <v>-158.26285714285714</v>
      </c>
      <c r="J117" s="4">
        <f t="shared" si="94"/>
        <v>-218.05542857142859</v>
      </c>
      <c r="K117" s="4">
        <f t="shared" si="94"/>
        <v>-198.7</v>
      </c>
      <c r="L117" s="4">
        <f t="shared" si="94"/>
        <v>-196.39828571428572</v>
      </c>
      <c r="M117" s="4">
        <f t="shared" si="94"/>
        <v>-177.548</v>
      </c>
      <c r="N117" s="4">
        <f t="shared" si="94"/>
        <v>-176.93085714285712</v>
      </c>
      <c r="O117" s="4">
        <f t="shared" si="94"/>
        <v>-160.70342857142859</v>
      </c>
      <c r="P117" s="4">
        <f t="shared" si="94"/>
        <v>-149.16704545454544</v>
      </c>
      <c r="Q117" s="4">
        <f t="shared" si="94"/>
        <v>-131.35227272727275</v>
      </c>
      <c r="R117" s="4">
        <f t="shared" si="94"/>
        <v>-114.52247191011236</v>
      </c>
      <c r="S117" s="4">
        <f t="shared" si="94"/>
        <v>-50.2</v>
      </c>
      <c r="T117" s="4">
        <f t="shared" si="94"/>
        <v>-48.897752808988763</v>
      </c>
      <c r="U117" s="4">
        <f t="shared" si="94"/>
        <v>-84.36011235955057</v>
      </c>
      <c r="V117" s="4">
        <f t="shared" si="94"/>
        <v>-80.754644808743166</v>
      </c>
      <c r="W117" s="4">
        <f t="shared" si="94"/>
        <v>-71.577049180327876</v>
      </c>
      <c r="X117" s="4">
        <f t="shared" si="94"/>
        <v>-107.15027322404372</v>
      </c>
    </row>
    <row r="118" spans="2:24" x14ac:dyDescent="0.25"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</row>
    <row r="119" spans="2:24" x14ac:dyDescent="0.25">
      <c r="B119" s="1" t="s">
        <v>73</v>
      </c>
      <c r="C119" s="1" t="s">
        <v>150</v>
      </c>
      <c r="D119" s="5"/>
      <c r="E119" s="5"/>
      <c r="F119" s="5"/>
      <c r="G119" s="4">
        <f>+G116+G117</f>
        <v>322.99142857142863</v>
      </c>
      <c r="H119" s="4">
        <f t="shared" ref="H119:X119" si="95">+H116+H117</f>
        <v>316.16457142857143</v>
      </c>
      <c r="I119" s="4">
        <f t="shared" si="95"/>
        <v>334.76971428571426</v>
      </c>
      <c r="J119" s="4">
        <f t="shared" si="95"/>
        <v>343.89199999999994</v>
      </c>
      <c r="K119" s="4">
        <f t="shared" si="95"/>
        <v>391.76514285714285</v>
      </c>
      <c r="L119" s="4">
        <f t="shared" si="95"/>
        <v>389.52799999999991</v>
      </c>
      <c r="M119" s="4">
        <f t="shared" si="95"/>
        <v>359.12114285714279</v>
      </c>
      <c r="N119" s="4">
        <f t="shared" si="95"/>
        <v>369.74685714285715</v>
      </c>
      <c r="O119" s="4">
        <f t="shared" si="95"/>
        <v>420.88342857142857</v>
      </c>
      <c r="P119" s="4">
        <f t="shared" si="95"/>
        <v>434.84772727272718</v>
      </c>
      <c r="Q119" s="4">
        <f t="shared" si="95"/>
        <v>393.02159090909095</v>
      </c>
      <c r="R119" s="4">
        <f t="shared" si="95"/>
        <v>435.21516853932587</v>
      </c>
      <c r="S119" s="4">
        <f t="shared" si="95"/>
        <v>510.78314606741577</v>
      </c>
      <c r="T119" s="4">
        <f t="shared" si="95"/>
        <v>533.02471910112354</v>
      </c>
      <c r="U119" s="4">
        <f t="shared" si="95"/>
        <v>498.57921348314602</v>
      </c>
      <c r="V119" s="4">
        <f t="shared" si="95"/>
        <v>581.33770491803273</v>
      </c>
      <c r="W119" s="4">
        <f t="shared" si="95"/>
        <v>662.35792349726762</v>
      </c>
      <c r="X119" s="4">
        <f t="shared" si="95"/>
        <v>673.43551912568307</v>
      </c>
    </row>
    <row r="120" spans="2:24" x14ac:dyDescent="0.25"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</row>
    <row r="121" spans="2:24" x14ac:dyDescent="0.25">
      <c r="B121" s="1" t="s">
        <v>85</v>
      </c>
      <c r="C121" s="1" t="s">
        <v>150</v>
      </c>
      <c r="D121" s="5"/>
      <c r="E121" s="5"/>
      <c r="F121" s="5"/>
      <c r="G121" s="4">
        <f t="shared" ref="G121:X121" si="96">+G50</f>
        <v>0</v>
      </c>
      <c r="H121" s="4">
        <f t="shared" si="96"/>
        <v>0</v>
      </c>
      <c r="I121" s="4">
        <f t="shared" si="96"/>
        <v>0</v>
      </c>
      <c r="J121" s="4">
        <f t="shared" si="96"/>
        <v>0</v>
      </c>
      <c r="K121" s="4">
        <f t="shared" si="96"/>
        <v>0</v>
      </c>
      <c r="L121" s="4">
        <f t="shared" si="96"/>
        <v>0</v>
      </c>
      <c r="M121" s="4">
        <f t="shared" si="96"/>
        <v>0</v>
      </c>
      <c r="N121" s="4">
        <f t="shared" si="96"/>
        <v>50</v>
      </c>
      <c r="O121" s="4">
        <f t="shared" si="96"/>
        <v>50</v>
      </c>
      <c r="P121" s="4">
        <f t="shared" si="96"/>
        <v>50</v>
      </c>
      <c r="Q121" s="4">
        <f t="shared" si="96"/>
        <v>50</v>
      </c>
      <c r="R121" s="4">
        <f t="shared" si="96"/>
        <v>76.86</v>
      </c>
      <c r="S121" s="4">
        <f t="shared" si="96"/>
        <v>76.86</v>
      </c>
      <c r="T121" s="4">
        <f t="shared" si="96"/>
        <v>76.86</v>
      </c>
      <c r="U121" s="4">
        <f t="shared" si="96"/>
        <v>76.86</v>
      </c>
      <c r="V121" s="4">
        <f t="shared" si="96"/>
        <v>77.36</v>
      </c>
      <c r="W121" s="4">
        <f t="shared" si="96"/>
        <v>77.36</v>
      </c>
      <c r="X121" s="4">
        <f t="shared" si="96"/>
        <v>77.36</v>
      </c>
    </row>
    <row r="122" spans="2:24" x14ac:dyDescent="0.25">
      <c r="B122" s="1" t="s">
        <v>86</v>
      </c>
      <c r="C122" s="1" t="s">
        <v>150</v>
      </c>
      <c r="D122" s="5"/>
      <c r="E122" s="5"/>
      <c r="F122" s="5"/>
      <c r="G122" s="4">
        <f t="shared" ref="G122:X122" si="97">+G124-G121-G116</f>
        <v>632.82799999999997</v>
      </c>
      <c r="H122" s="4">
        <f t="shared" si="97"/>
        <v>456.33714285714285</v>
      </c>
      <c r="I122" s="4">
        <f t="shared" si="97"/>
        <v>681.96742857142863</v>
      </c>
      <c r="J122" s="4">
        <f t="shared" si="97"/>
        <v>963.05257142857147</v>
      </c>
      <c r="K122" s="4">
        <f t="shared" si="97"/>
        <v>999.53485714285716</v>
      </c>
      <c r="L122" s="4">
        <f t="shared" si="97"/>
        <v>1255.5737142857142</v>
      </c>
      <c r="M122" s="4">
        <f t="shared" si="97"/>
        <v>1185.3308571428572</v>
      </c>
      <c r="N122" s="4">
        <f t="shared" si="97"/>
        <v>1238.3222857142857</v>
      </c>
      <c r="O122" s="4">
        <f t="shared" si="97"/>
        <v>1533.4131428571427</v>
      </c>
      <c r="P122" s="4">
        <f t="shared" si="97"/>
        <v>1425.9852272727273</v>
      </c>
      <c r="Q122" s="4">
        <f t="shared" si="97"/>
        <v>1665.6261363636363</v>
      </c>
      <c r="R122" s="4">
        <f t="shared" si="97"/>
        <v>1348.4023595505619</v>
      </c>
      <c r="S122" s="4">
        <f t="shared" si="97"/>
        <v>1378.1568539325845</v>
      </c>
      <c r="T122" s="4">
        <f t="shared" si="97"/>
        <v>1976.2175280898875</v>
      </c>
      <c r="U122" s="4">
        <f t="shared" si="97"/>
        <v>2580.7006741573032</v>
      </c>
      <c r="V122" s="4">
        <f t="shared" si="97"/>
        <v>2660.547650273224</v>
      </c>
      <c r="W122" s="4">
        <f t="shared" si="97"/>
        <v>3738.7050273224049</v>
      </c>
      <c r="X122" s="4">
        <f t="shared" si="97"/>
        <v>4792.0542076502734</v>
      </c>
    </row>
    <row r="123" spans="2:24" x14ac:dyDescent="0.25">
      <c r="G123" s="5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2:24" x14ac:dyDescent="0.25">
      <c r="B124" s="1" t="s">
        <v>87</v>
      </c>
      <c r="C124" s="1" t="s">
        <v>128</v>
      </c>
      <c r="D124" s="5"/>
      <c r="E124" s="5"/>
      <c r="F124" s="5"/>
      <c r="G124" s="55">
        <f t="shared" ref="G124:X124" si="98">+G54</f>
        <v>1140</v>
      </c>
      <c r="H124" s="4">
        <f t="shared" si="98"/>
        <v>959.5</v>
      </c>
      <c r="I124" s="4">
        <f t="shared" si="98"/>
        <v>1175</v>
      </c>
      <c r="J124" s="4">
        <f t="shared" si="98"/>
        <v>1525</v>
      </c>
      <c r="K124" s="4">
        <f t="shared" si="98"/>
        <v>1590</v>
      </c>
      <c r="L124" s="4">
        <f t="shared" si="98"/>
        <v>1841.5</v>
      </c>
      <c r="M124" s="4">
        <f t="shared" si="98"/>
        <v>1722</v>
      </c>
      <c r="N124" s="4">
        <f t="shared" si="98"/>
        <v>1835</v>
      </c>
      <c r="O124" s="4">
        <f t="shared" si="98"/>
        <v>2165</v>
      </c>
      <c r="P124" s="4">
        <f t="shared" si="98"/>
        <v>2060</v>
      </c>
      <c r="Q124" s="4">
        <f t="shared" si="98"/>
        <v>2240</v>
      </c>
      <c r="R124" s="4">
        <f t="shared" si="98"/>
        <v>1975</v>
      </c>
      <c r="S124" s="4">
        <f t="shared" si="98"/>
        <v>2016</v>
      </c>
      <c r="T124" s="4">
        <f t="shared" si="98"/>
        <v>2635</v>
      </c>
      <c r="U124" s="4">
        <f t="shared" si="98"/>
        <v>3240.5</v>
      </c>
      <c r="V124" s="4">
        <f t="shared" si="98"/>
        <v>3400</v>
      </c>
      <c r="W124" s="4">
        <f t="shared" si="98"/>
        <v>4550</v>
      </c>
      <c r="X124" s="4">
        <f t="shared" si="98"/>
        <v>5650</v>
      </c>
    </row>
    <row r="126" spans="2:24" x14ac:dyDescent="0.25">
      <c r="B126" s="1" t="s">
        <v>46</v>
      </c>
      <c r="D126" s="2">
        <v>2009</v>
      </c>
      <c r="E126" s="2">
        <v>2010</v>
      </c>
      <c r="F126" s="2">
        <v>2011</v>
      </c>
      <c r="G126" s="2">
        <v>2012</v>
      </c>
      <c r="H126" s="2" t="s">
        <v>51</v>
      </c>
      <c r="I126" s="2" t="s">
        <v>53</v>
      </c>
      <c r="J126" s="2" t="s">
        <v>54</v>
      </c>
      <c r="K126" s="2" t="s">
        <v>52</v>
      </c>
    </row>
    <row r="128" spans="2:24" x14ac:dyDescent="0.25">
      <c r="C128" s="1" t="s">
        <v>47</v>
      </c>
      <c r="D128" s="3">
        <f>+H37</f>
        <v>463100</v>
      </c>
      <c r="E128" s="3">
        <f>+L37</f>
        <v>424515</v>
      </c>
      <c r="F128" s="3">
        <f>+P37</f>
        <v>500522</v>
      </c>
      <c r="G128" s="3">
        <f>+T37</f>
        <v>657914</v>
      </c>
      <c r="H128" s="3">
        <f>SUM(D128:G128)</f>
        <v>2046051</v>
      </c>
      <c r="I128" s="3">
        <f>COUNT(D128:G128)</f>
        <v>4</v>
      </c>
      <c r="J128" s="3">
        <f>+H128/I128</f>
        <v>511512.75</v>
      </c>
      <c r="K128" s="20">
        <f>+J128/J133</f>
        <v>0.21557697644706389</v>
      </c>
    </row>
    <row r="129" spans="2:11" x14ac:dyDescent="0.25">
      <c r="C129" s="1" t="s">
        <v>48</v>
      </c>
      <c r="D129" s="3">
        <f>+I37</f>
        <v>490848</v>
      </c>
      <c r="E129" s="3">
        <f>+M37</f>
        <v>481558</v>
      </c>
      <c r="F129" s="3">
        <f>+Q37</f>
        <v>580480</v>
      </c>
      <c r="G129" s="3">
        <f>+U37</f>
        <v>760140</v>
      </c>
      <c r="H129" s="3">
        <f>SUM(D129:G129)</f>
        <v>2313026</v>
      </c>
      <c r="I129" s="3">
        <f>COUNT(D129:G129)</f>
        <v>4</v>
      </c>
      <c r="J129" s="3">
        <f>+H129/I129</f>
        <v>578256.5</v>
      </c>
      <c r="K129" s="20">
        <f>+J129/J133</f>
        <v>0.24370612048450718</v>
      </c>
    </row>
    <row r="130" spans="2:11" x14ac:dyDescent="0.25">
      <c r="C130" s="1" t="s">
        <v>49</v>
      </c>
      <c r="D130" s="3">
        <f>+J37</f>
        <v>504952</v>
      </c>
      <c r="E130" s="3">
        <f>+N37</f>
        <v>543445</v>
      </c>
      <c r="F130" s="3">
        <f>+R37</f>
        <v>622232</v>
      </c>
      <c r="G130" s="3">
        <f>+V37</f>
        <v>843592</v>
      </c>
      <c r="H130" s="3">
        <f>SUM(D130:G130)</f>
        <v>2514221</v>
      </c>
      <c r="I130" s="3">
        <f>COUNT(D130:G130)</f>
        <v>4</v>
      </c>
      <c r="J130" s="3">
        <f>+H130/I130</f>
        <v>628555.25</v>
      </c>
      <c r="K130" s="20">
        <f>+J130/J133</f>
        <v>0.26490452158803152</v>
      </c>
    </row>
    <row r="131" spans="2:11" x14ac:dyDescent="0.25">
      <c r="C131" s="1" t="s">
        <v>50</v>
      </c>
      <c r="D131" s="3">
        <f>+K37</f>
        <v>544195</v>
      </c>
      <c r="E131" s="3">
        <f>+O37</f>
        <v>629840</v>
      </c>
      <c r="F131" s="3">
        <f>+S37</f>
        <v>789276</v>
      </c>
      <c r="G131" s="3"/>
      <c r="H131" s="3">
        <f>SUM(D131:G131)</f>
        <v>1963311</v>
      </c>
      <c r="I131" s="3">
        <f>COUNT(D131:G131)</f>
        <v>3</v>
      </c>
      <c r="J131" s="3">
        <f>+H131/I131</f>
        <v>654437</v>
      </c>
      <c r="K131" s="20">
        <f>+J131/J133</f>
        <v>0.27581238148039744</v>
      </c>
    </row>
    <row r="132" spans="2:11" x14ac:dyDescent="0.25">
      <c r="K132" s="23"/>
    </row>
    <row r="133" spans="2:11" x14ac:dyDescent="0.25">
      <c r="C133" s="1" t="s">
        <v>51</v>
      </c>
      <c r="D133" s="3">
        <f>SUM(D128:D132)</f>
        <v>2003095</v>
      </c>
      <c r="E133" s="3">
        <f>SUM(E128:E132)</f>
        <v>2079358</v>
      </c>
      <c r="F133" s="3">
        <f>SUM(F128:F132)</f>
        <v>2492510</v>
      </c>
      <c r="G133" s="3">
        <f>SUM(G128:G132)</f>
        <v>2261646</v>
      </c>
      <c r="H133" s="3">
        <f>SUM(D133:G133)</f>
        <v>8836609</v>
      </c>
      <c r="I133" s="21"/>
      <c r="J133" s="3">
        <f>SUM(J128:J132)</f>
        <v>2372761.5</v>
      </c>
      <c r="K133" s="20">
        <f>SUM(K128:K132)</f>
        <v>1</v>
      </c>
    </row>
    <row r="134" spans="2:11" x14ac:dyDescent="0.25">
      <c r="H134" s="3">
        <f>SUM(H128:H131)</f>
        <v>8836609</v>
      </c>
    </row>
    <row r="136" spans="2:11" ht="30" x14ac:dyDescent="0.25">
      <c r="B136" s="13" t="s">
        <v>136</v>
      </c>
      <c r="D136" s="2">
        <v>2009</v>
      </c>
      <c r="E136" s="2">
        <v>2010</v>
      </c>
      <c r="F136" s="2">
        <v>2011</v>
      </c>
      <c r="G136" s="2">
        <v>2012</v>
      </c>
      <c r="H136" s="2" t="s">
        <v>51</v>
      </c>
      <c r="I136" s="2" t="s">
        <v>53</v>
      </c>
      <c r="J136" s="2" t="s">
        <v>54</v>
      </c>
      <c r="K136" s="2" t="s">
        <v>52</v>
      </c>
    </row>
    <row r="138" spans="2:11" x14ac:dyDescent="0.25">
      <c r="C138" s="1" t="s">
        <v>47</v>
      </c>
      <c r="D138" s="3">
        <f>+H38</f>
        <v>465847</v>
      </c>
      <c r="E138" s="3">
        <f>+L38</f>
        <v>416049</v>
      </c>
      <c r="F138" s="3">
        <f>+P38</f>
        <v>489682</v>
      </c>
      <c r="G138" s="3">
        <f>+T38</f>
        <v>615814</v>
      </c>
      <c r="H138" s="3">
        <f>SUM(D138:G138)</f>
        <v>1987392</v>
      </c>
      <c r="I138" s="3">
        <f>COUNT(D138:G138)</f>
        <v>4</v>
      </c>
      <c r="J138" s="3">
        <f>+H138/I138</f>
        <v>496848</v>
      </c>
      <c r="K138" s="20">
        <f>+J138/J143</f>
        <v>0.23769014101801175</v>
      </c>
    </row>
    <row r="139" spans="2:11" x14ac:dyDescent="0.25">
      <c r="C139" s="1" t="s">
        <v>48</v>
      </c>
      <c r="D139" s="3">
        <f>+I38</f>
        <v>451029</v>
      </c>
      <c r="E139" s="3">
        <f>+M38</f>
        <v>441806</v>
      </c>
      <c r="F139" s="3">
        <f>+Q38</f>
        <v>492764</v>
      </c>
      <c r="G139" s="3">
        <f>+U38</f>
        <v>646171</v>
      </c>
      <c r="H139" s="3">
        <f>SUM(D139:G139)</f>
        <v>2031770</v>
      </c>
      <c r="I139" s="3">
        <f>COUNT(D139:G139)</f>
        <v>4</v>
      </c>
      <c r="J139" s="3">
        <f>+H139/I139</f>
        <v>507942.5</v>
      </c>
      <c r="K139" s="20">
        <f>+J139/J143</f>
        <v>0.24299770644954077</v>
      </c>
    </row>
    <row r="140" spans="2:11" x14ac:dyDescent="0.25">
      <c r="C140" s="1" t="s">
        <v>49</v>
      </c>
      <c r="D140" s="3">
        <f>+J38</f>
        <v>483803</v>
      </c>
      <c r="E140" s="3">
        <f>+N38</f>
        <v>506628</v>
      </c>
      <c r="F140" s="3">
        <f>+R38</f>
        <v>545079</v>
      </c>
      <c r="G140" s="3">
        <f>+V38</f>
        <v>730327</v>
      </c>
      <c r="H140" s="3">
        <f>SUM(D140:G140)</f>
        <v>2265837</v>
      </c>
      <c r="I140" s="3">
        <f>COUNT(D140:G140)</f>
        <v>4</v>
      </c>
      <c r="J140" s="3">
        <f>+H140/I140</f>
        <v>566459.25</v>
      </c>
      <c r="K140" s="20">
        <f>+J140/J143</f>
        <v>0.27099189090719328</v>
      </c>
    </row>
    <row r="141" spans="2:11" x14ac:dyDescent="0.25">
      <c r="C141" s="1" t="s">
        <v>50</v>
      </c>
      <c r="D141" s="3">
        <f>+K38</f>
        <v>421138</v>
      </c>
      <c r="E141" s="3">
        <f>+O38</f>
        <v>514188</v>
      </c>
      <c r="F141" s="3">
        <f>+S38</f>
        <v>621879</v>
      </c>
      <c r="G141" s="3"/>
      <c r="H141" s="3">
        <f>SUM(D141:G141)</f>
        <v>1557205</v>
      </c>
      <c r="I141" s="3">
        <f>COUNT(D141:G141)</f>
        <v>3</v>
      </c>
      <c r="J141" s="3">
        <f>+H141/I141</f>
        <v>519068.33333333331</v>
      </c>
      <c r="K141" s="20">
        <f>+J141/J143</f>
        <v>0.24832026162525425</v>
      </c>
    </row>
    <row r="142" spans="2:11" x14ac:dyDescent="0.25">
      <c r="K142" s="23"/>
    </row>
    <row r="143" spans="2:11" x14ac:dyDescent="0.25">
      <c r="C143" s="1" t="s">
        <v>51</v>
      </c>
      <c r="D143" s="3">
        <f>SUM(D138:D142)</f>
        <v>1821817</v>
      </c>
      <c r="E143" s="3">
        <f>SUM(E138:E142)</f>
        <v>1878671</v>
      </c>
      <c r="F143" s="3">
        <f>SUM(F138:F142)</f>
        <v>2149404</v>
      </c>
      <c r="G143" s="3">
        <f>SUM(G138:G142)</f>
        <v>1992312</v>
      </c>
      <c r="H143" s="3">
        <f>SUM(D143:G143)</f>
        <v>7842204</v>
      </c>
      <c r="I143" s="21"/>
      <c r="J143" s="3">
        <f>SUM(J138:J142)</f>
        <v>2090318.0833333333</v>
      </c>
      <c r="K143" s="20">
        <f>SUM(K138:K142)</f>
        <v>1</v>
      </c>
    </row>
    <row r="144" spans="2:11" x14ac:dyDescent="0.25">
      <c r="H144" s="3">
        <f>SUM(H138:H141)</f>
        <v>7842204</v>
      </c>
    </row>
    <row r="146" spans="2:11" x14ac:dyDescent="0.25">
      <c r="B146" s="1" t="s">
        <v>143</v>
      </c>
      <c r="D146" s="2">
        <v>2009</v>
      </c>
      <c r="E146" s="2">
        <v>2010</v>
      </c>
      <c r="F146" s="2">
        <v>2011</v>
      </c>
      <c r="G146" s="2">
        <v>2012</v>
      </c>
      <c r="H146" s="2" t="s">
        <v>51</v>
      </c>
      <c r="I146" s="2" t="s">
        <v>53</v>
      </c>
      <c r="J146" s="2" t="s">
        <v>54</v>
      </c>
      <c r="K146" s="2" t="s">
        <v>52</v>
      </c>
    </row>
    <row r="148" spans="2:11" x14ac:dyDescent="0.25">
      <c r="C148" s="1" t="s">
        <v>47</v>
      </c>
      <c r="D148" s="3">
        <f>+H40</f>
        <v>-1164</v>
      </c>
      <c r="E148" s="3">
        <f>+L40</f>
        <v>-9343</v>
      </c>
      <c r="F148" s="3">
        <f>+P40</f>
        <v>8225</v>
      </c>
      <c r="G148" s="3">
        <f>+T40</f>
        <v>-2223</v>
      </c>
      <c r="H148" s="3">
        <f>SUM(D148:G148)</f>
        <v>-4505</v>
      </c>
      <c r="I148" s="3">
        <f>COUNT(D148:G148)</f>
        <v>4</v>
      </c>
      <c r="J148" s="3">
        <f>+H148/I148</f>
        <v>-1126.25</v>
      </c>
      <c r="K148" s="20">
        <f>+J148/J153</f>
        <v>4.2691575086946765E-2</v>
      </c>
    </row>
    <row r="149" spans="2:11" x14ac:dyDescent="0.25">
      <c r="C149" s="1" t="s">
        <v>48</v>
      </c>
      <c r="D149" s="3">
        <f>+I40</f>
        <v>-4332</v>
      </c>
      <c r="E149" s="3">
        <f>+M40</f>
        <v>10787</v>
      </c>
      <c r="F149" s="3">
        <f>+Q40</f>
        <v>-7678</v>
      </c>
      <c r="G149" s="3">
        <f>+U40</f>
        <v>-18701</v>
      </c>
      <c r="H149" s="3">
        <f>SUM(D149:G149)</f>
        <v>-19924</v>
      </c>
      <c r="I149" s="3">
        <f>COUNT(D149:G149)</f>
        <v>4</v>
      </c>
      <c r="J149" s="3">
        <f>+H149/I149</f>
        <v>-4981</v>
      </c>
      <c r="K149" s="20">
        <f>+J149/J153</f>
        <v>0.18880953208264759</v>
      </c>
    </row>
    <row r="150" spans="2:11" x14ac:dyDescent="0.25">
      <c r="C150" s="1" t="s">
        <v>49</v>
      </c>
      <c r="D150" s="3">
        <f>+J40</f>
        <v>-17596</v>
      </c>
      <c r="E150" s="3">
        <f>+N40</f>
        <v>-16963</v>
      </c>
      <c r="F150" s="3">
        <f>+R40</f>
        <v>-1876</v>
      </c>
      <c r="G150" s="3">
        <f>+V40</f>
        <v>-1503</v>
      </c>
      <c r="H150" s="3">
        <f>SUM(D150:G150)</f>
        <v>-37938</v>
      </c>
      <c r="I150" s="3">
        <f>COUNT(D150:G150)</f>
        <v>4</v>
      </c>
      <c r="J150" s="3">
        <f>+H150/I150</f>
        <v>-9484.5</v>
      </c>
      <c r="K150" s="20">
        <f>+J150/J153</f>
        <v>0.35951897350690043</v>
      </c>
    </row>
    <row r="151" spans="2:11" x14ac:dyDescent="0.25">
      <c r="C151" s="1" t="s">
        <v>50</v>
      </c>
      <c r="D151" s="3">
        <f>+K40</f>
        <v>-18935</v>
      </c>
      <c r="E151" s="3">
        <f>+O40</f>
        <v>-2679</v>
      </c>
      <c r="F151" s="3">
        <f>+S40</f>
        <v>-10754</v>
      </c>
      <c r="G151" s="3"/>
      <c r="H151" s="3">
        <f>SUM(D151:G151)</f>
        <v>-32368</v>
      </c>
      <c r="I151" s="3">
        <f>COUNT(D151:G151)</f>
        <v>3</v>
      </c>
      <c r="J151" s="3">
        <f>+H151/I151</f>
        <v>-10789.333333333334</v>
      </c>
      <c r="K151" s="20">
        <f>+J151/J153</f>
        <v>0.40897991932350514</v>
      </c>
    </row>
    <row r="152" spans="2:11" x14ac:dyDescent="0.25">
      <c r="K152" s="23"/>
    </row>
    <row r="153" spans="2:11" x14ac:dyDescent="0.25">
      <c r="C153" s="1" t="s">
        <v>51</v>
      </c>
      <c r="D153" s="3">
        <f>SUM(D148:D152)</f>
        <v>-42027</v>
      </c>
      <c r="E153" s="3">
        <f>SUM(E148:E152)</f>
        <v>-18198</v>
      </c>
      <c r="F153" s="3">
        <f>SUM(F148:F152)</f>
        <v>-12083</v>
      </c>
      <c r="G153" s="3">
        <f>SUM(G148:G152)</f>
        <v>-22427</v>
      </c>
      <c r="H153" s="3">
        <f>SUM(D153:G153)</f>
        <v>-94735</v>
      </c>
      <c r="I153" s="21"/>
      <c r="J153" s="3">
        <f>SUM(J148:J152)</f>
        <v>-26381.083333333336</v>
      </c>
      <c r="K153" s="20">
        <f>SUM(K148:K152)</f>
        <v>1</v>
      </c>
    </row>
    <row r="154" spans="2:11" x14ac:dyDescent="0.25">
      <c r="H154" s="3">
        <f>SUM(H148:H151)</f>
        <v>-94735</v>
      </c>
    </row>
    <row r="156" spans="2:11" x14ac:dyDescent="0.25">
      <c r="B156" s="1" t="s">
        <v>144</v>
      </c>
      <c r="D156" s="2">
        <v>2009</v>
      </c>
      <c r="E156" s="2">
        <v>2010</v>
      </c>
      <c r="F156" s="2">
        <v>2011</v>
      </c>
      <c r="G156" s="2">
        <v>2012</v>
      </c>
      <c r="H156" s="2" t="s">
        <v>51</v>
      </c>
      <c r="I156" s="2" t="s">
        <v>53</v>
      </c>
      <c r="J156" s="2" t="s">
        <v>54</v>
      </c>
      <c r="K156" s="2" t="s">
        <v>52</v>
      </c>
    </row>
    <row r="158" spans="2:11" x14ac:dyDescent="0.25">
      <c r="C158" s="1" t="s">
        <v>47</v>
      </c>
      <c r="D158" s="3">
        <f>+H42</f>
        <v>3868</v>
      </c>
      <c r="E158" s="3">
        <f>+L42</f>
        <v>3907</v>
      </c>
      <c r="F158" s="3">
        <f>+P42</f>
        <v>4929</v>
      </c>
      <c r="G158" s="3">
        <f>+T42</f>
        <v>5918</v>
      </c>
      <c r="H158" s="3">
        <f>SUM(D158:G158)</f>
        <v>18622</v>
      </c>
      <c r="I158" s="3">
        <f>COUNT(D158:G158)</f>
        <v>4</v>
      </c>
      <c r="J158" s="3">
        <f>+H158/I158</f>
        <v>4655.5</v>
      </c>
      <c r="K158" s="20">
        <f>+J158/J163</f>
        <v>9.1043910197908778E-2</v>
      </c>
    </row>
    <row r="159" spans="2:11" x14ac:dyDescent="0.25">
      <c r="C159" s="1" t="s">
        <v>48</v>
      </c>
      <c r="D159" s="3">
        <f>+I42</f>
        <v>5422</v>
      </c>
      <c r="E159" s="3">
        <f>+M42</f>
        <v>12681</v>
      </c>
      <c r="F159" s="3">
        <f>+Q42</f>
        <v>15863</v>
      </c>
      <c r="G159" s="3">
        <f>+U42</f>
        <v>17406</v>
      </c>
      <c r="H159" s="3">
        <f>SUM(D159:G159)</f>
        <v>51372</v>
      </c>
      <c r="I159" s="3">
        <f>COUNT(D159:G159)</f>
        <v>4</v>
      </c>
      <c r="J159" s="3">
        <f>+H159/I159</f>
        <v>12843</v>
      </c>
      <c r="K159" s="20">
        <f>+J159/J163</f>
        <v>0.25116033480222155</v>
      </c>
    </row>
    <row r="160" spans="2:11" x14ac:dyDescent="0.25">
      <c r="C160" s="1" t="s">
        <v>49</v>
      </c>
      <c r="D160" s="3">
        <f>+J42</f>
        <v>3074</v>
      </c>
      <c r="E160" s="3">
        <f>+N42</f>
        <v>3153</v>
      </c>
      <c r="F160" s="3">
        <f>+R42</f>
        <v>14155</v>
      </c>
      <c r="G160" s="3">
        <f>+V42</f>
        <v>17148</v>
      </c>
      <c r="H160" s="3">
        <f>SUM(D160:G160)</f>
        <v>37530</v>
      </c>
      <c r="I160" s="3">
        <f>COUNT(D160:G160)</f>
        <v>4</v>
      </c>
      <c r="J160" s="3">
        <f>+H160/I160</f>
        <v>9382.5</v>
      </c>
      <c r="K160" s="20">
        <f>+J160/J163</f>
        <v>0.18348608901984301</v>
      </c>
    </row>
    <row r="161" spans="2:11" x14ac:dyDescent="0.25">
      <c r="C161" s="1" t="s">
        <v>50</v>
      </c>
      <c r="D161" s="3">
        <f>+K42</f>
        <v>22166</v>
      </c>
      <c r="E161" s="3">
        <f>+O42</f>
        <v>23665</v>
      </c>
      <c r="F161" s="3">
        <f>+S42</f>
        <v>26930</v>
      </c>
      <c r="G161" s="3"/>
      <c r="H161" s="3">
        <f>SUM(D161:G161)</f>
        <v>72761</v>
      </c>
      <c r="I161" s="3">
        <f>COUNT(D161:G161)</f>
        <v>3</v>
      </c>
      <c r="J161" s="3">
        <f>+H161/I161</f>
        <v>24253.666666666668</v>
      </c>
      <c r="K161" s="20">
        <f>+J161/J163</f>
        <v>0.47430966598002655</v>
      </c>
    </row>
    <row r="162" spans="2:11" x14ac:dyDescent="0.25">
      <c r="K162" s="23"/>
    </row>
    <row r="163" spans="2:11" x14ac:dyDescent="0.25">
      <c r="C163" s="1" t="s">
        <v>51</v>
      </c>
      <c r="D163" s="3">
        <f>SUM(D158:D162)</f>
        <v>34530</v>
      </c>
      <c r="E163" s="3">
        <f>SUM(E158:E162)</f>
        <v>43406</v>
      </c>
      <c r="F163" s="3">
        <f>SUM(F158:F162)</f>
        <v>61877</v>
      </c>
      <c r="G163" s="3">
        <f>SUM(G158:G162)</f>
        <v>40472</v>
      </c>
      <c r="H163" s="3">
        <f>SUM(D163:G163)</f>
        <v>180285</v>
      </c>
      <c r="I163" s="21"/>
      <c r="J163" s="3">
        <f>SUM(J158:J162)</f>
        <v>51134.666666666672</v>
      </c>
      <c r="K163" s="20">
        <f>SUM(K158:K162)</f>
        <v>0.99999999999999989</v>
      </c>
    </row>
    <row r="164" spans="2:11" x14ac:dyDescent="0.25">
      <c r="H164" s="3">
        <f>SUM(H158:H161)</f>
        <v>180285</v>
      </c>
    </row>
    <row r="166" spans="2:11" x14ac:dyDescent="0.25">
      <c r="B166" s="1" t="s">
        <v>165</v>
      </c>
      <c r="D166" s="2">
        <v>2009</v>
      </c>
      <c r="E166" s="2">
        <v>2010</v>
      </c>
      <c r="F166" s="2">
        <v>2011</v>
      </c>
      <c r="G166" s="2">
        <v>2012</v>
      </c>
      <c r="H166" s="2" t="s">
        <v>51</v>
      </c>
      <c r="I166" s="2" t="s">
        <v>53</v>
      </c>
      <c r="J166" s="2" t="s">
        <v>54</v>
      </c>
      <c r="K166" s="2" t="s">
        <v>52</v>
      </c>
    </row>
    <row r="168" spans="2:11" x14ac:dyDescent="0.25">
      <c r="C168" s="1" t="s">
        <v>47</v>
      </c>
      <c r="D168" s="3">
        <f>+H44</f>
        <v>-7779</v>
      </c>
      <c r="E168" s="3">
        <f>+L44</f>
        <v>-4784</v>
      </c>
      <c r="F168" s="3">
        <f>+P44</f>
        <v>14136</v>
      </c>
      <c r="G168" s="3">
        <f>+T44</f>
        <v>33616</v>
      </c>
      <c r="H168" s="3">
        <f>SUM(D168:G168)</f>
        <v>35189</v>
      </c>
      <c r="I168" s="3">
        <f>COUNT(D168:G168)</f>
        <v>4</v>
      </c>
      <c r="J168" s="3">
        <f>+H168/I168</f>
        <v>8797.25</v>
      </c>
      <c r="K168" s="20">
        <f>+J168/J173</f>
        <v>4.2994615033107246E-2</v>
      </c>
    </row>
    <row r="169" spans="2:11" x14ac:dyDescent="0.25">
      <c r="C169" s="1" t="s">
        <v>48</v>
      </c>
      <c r="D169" s="3">
        <f>+I44</f>
        <v>30065</v>
      </c>
      <c r="E169" s="3">
        <f>+M44</f>
        <v>37858</v>
      </c>
      <c r="F169" s="3">
        <f>+Q44</f>
        <v>64175</v>
      </c>
      <c r="G169" s="3">
        <f>+U44</f>
        <v>77507</v>
      </c>
      <c r="H169" s="3">
        <f>SUM(D169:G169)</f>
        <v>209605</v>
      </c>
      <c r="I169" s="3">
        <f>COUNT(D169:G169)</f>
        <v>4</v>
      </c>
      <c r="J169" s="3">
        <f>+H169/I169</f>
        <v>52401.25</v>
      </c>
      <c r="K169" s="20">
        <f>+J169/J173</f>
        <v>0.25609952780739564</v>
      </c>
    </row>
    <row r="170" spans="2:11" x14ac:dyDescent="0.25">
      <c r="C170" s="1" t="s">
        <v>49</v>
      </c>
      <c r="D170" s="3">
        <f>+J44</f>
        <v>479</v>
      </c>
      <c r="E170" s="3">
        <f>+N44</f>
        <v>16701</v>
      </c>
      <c r="F170" s="3">
        <f>+R44</f>
        <v>61122</v>
      </c>
      <c r="G170" s="3">
        <f>+V43</f>
        <v>94614</v>
      </c>
      <c r="H170" s="3">
        <f>SUM(D170:G170)</f>
        <v>172916</v>
      </c>
      <c r="I170" s="3">
        <f>COUNT(D170:G170)</f>
        <v>4</v>
      </c>
      <c r="J170" s="3">
        <f>+H170/I170</f>
        <v>43229</v>
      </c>
      <c r="K170" s="20">
        <f>+J170/J173</f>
        <v>0.21127218315566718</v>
      </c>
    </row>
    <row r="171" spans="2:11" x14ac:dyDescent="0.25">
      <c r="C171" s="1" t="s">
        <v>50</v>
      </c>
      <c r="D171" s="3">
        <f>+K44</f>
        <v>81956</v>
      </c>
      <c r="E171" s="3">
        <f>+O44</f>
        <v>89308</v>
      </c>
      <c r="F171" s="3">
        <f>+S44</f>
        <v>129292</v>
      </c>
      <c r="G171" s="3"/>
      <c r="H171" s="3">
        <f>SUM(D171:G171)</f>
        <v>300556</v>
      </c>
      <c r="I171" s="3">
        <f>COUNT(D171:G171)</f>
        <v>3</v>
      </c>
      <c r="J171" s="3">
        <f>+H171/I171</f>
        <v>100185.33333333333</v>
      </c>
      <c r="K171" s="20">
        <f>+J171/J173</f>
        <v>0.48963367400383001</v>
      </c>
    </row>
    <row r="172" spans="2:11" x14ac:dyDescent="0.25">
      <c r="K172" s="23"/>
    </row>
    <row r="173" spans="2:11" x14ac:dyDescent="0.25">
      <c r="C173" s="1" t="s">
        <v>51</v>
      </c>
      <c r="D173" s="3">
        <f>SUM(D168:D172)</f>
        <v>104721</v>
      </c>
      <c r="E173" s="3">
        <f>SUM(E168:E172)</f>
        <v>139083</v>
      </c>
      <c r="F173" s="3">
        <f>SUM(F168:F172)</f>
        <v>268725</v>
      </c>
      <c r="G173" s="3">
        <f>SUM(G168:G172)</f>
        <v>205737</v>
      </c>
      <c r="H173" s="3">
        <f>SUM(D173:G173)</f>
        <v>718266</v>
      </c>
      <c r="I173" s="21"/>
      <c r="J173" s="3">
        <f>SUM(J168:J172)</f>
        <v>204612.83333333331</v>
      </c>
      <c r="K173" s="20">
        <f>SUM(K168:K172)</f>
        <v>1</v>
      </c>
    </row>
    <row r="174" spans="2:11" x14ac:dyDescent="0.25">
      <c r="H174" s="3">
        <f>SUM(H168:H171)</f>
        <v>718266</v>
      </c>
    </row>
    <row r="176" spans="2:11" x14ac:dyDescent="0.25">
      <c r="B176" s="26" t="s">
        <v>89</v>
      </c>
      <c r="C176" s="26" t="s">
        <v>103</v>
      </c>
      <c r="D176" s="26" t="s">
        <v>104</v>
      </c>
      <c r="E176" s="26" t="s">
        <v>121</v>
      </c>
      <c r="F176" s="26" t="s">
        <v>105</v>
      </c>
      <c r="G176" s="26" t="s">
        <v>106</v>
      </c>
      <c r="H176" s="26" t="s">
        <v>107</v>
      </c>
    </row>
    <row r="178" spans="2:8" x14ac:dyDescent="0.25">
      <c r="B178" s="1" t="s">
        <v>90</v>
      </c>
      <c r="C178" s="1">
        <v>31</v>
      </c>
      <c r="D178" s="1">
        <f>+C178</f>
        <v>31</v>
      </c>
      <c r="E178" s="1">
        <f>+C178</f>
        <v>31</v>
      </c>
      <c r="F178" s="1"/>
      <c r="G178" s="1"/>
      <c r="H178" s="1"/>
    </row>
    <row r="179" spans="2:8" x14ac:dyDescent="0.25">
      <c r="B179" s="1" t="s">
        <v>91</v>
      </c>
      <c r="C179" s="1">
        <v>28</v>
      </c>
      <c r="D179" s="1">
        <f>+C179</f>
        <v>28</v>
      </c>
      <c r="E179" s="1"/>
      <c r="F179" s="1"/>
      <c r="G179" s="1"/>
      <c r="H179" s="1"/>
    </row>
    <row r="180" spans="2:8" x14ac:dyDescent="0.25">
      <c r="B180" s="1" t="s">
        <v>92</v>
      </c>
      <c r="C180" s="1">
        <v>29</v>
      </c>
      <c r="D180" s="1"/>
      <c r="E180" s="1">
        <f>+C180</f>
        <v>29</v>
      </c>
      <c r="F180" s="1"/>
      <c r="G180" s="1"/>
      <c r="H180" s="1"/>
    </row>
    <row r="181" spans="2:8" x14ac:dyDescent="0.25">
      <c r="B181" s="1" t="s">
        <v>93</v>
      </c>
      <c r="C181" s="1">
        <v>31</v>
      </c>
      <c r="D181" s="1">
        <f>+C181</f>
        <v>31</v>
      </c>
      <c r="E181" s="1">
        <f>+C181</f>
        <v>31</v>
      </c>
      <c r="F181" s="1"/>
      <c r="G181" s="1"/>
      <c r="H181" s="1"/>
    </row>
    <row r="182" spans="2:8" x14ac:dyDescent="0.25">
      <c r="B182" s="1" t="s">
        <v>94</v>
      </c>
      <c r="C182" s="1">
        <v>30</v>
      </c>
      <c r="D182" s="1"/>
      <c r="E182" s="1"/>
      <c r="F182" s="1">
        <f>+C182</f>
        <v>30</v>
      </c>
      <c r="G182" s="1"/>
      <c r="H182" s="1"/>
    </row>
    <row r="183" spans="2:8" x14ac:dyDescent="0.25">
      <c r="B183" s="1" t="s">
        <v>95</v>
      </c>
      <c r="C183" s="1">
        <v>31</v>
      </c>
      <c r="D183" s="1"/>
      <c r="E183" s="1"/>
      <c r="F183" s="1">
        <f>+C183</f>
        <v>31</v>
      </c>
      <c r="G183" s="1"/>
      <c r="H183" s="1"/>
    </row>
    <row r="184" spans="2:8" x14ac:dyDescent="0.25">
      <c r="B184" s="1" t="s">
        <v>96</v>
      </c>
      <c r="C184" s="1">
        <v>30</v>
      </c>
      <c r="D184" s="1"/>
      <c r="E184" s="1"/>
      <c r="F184" s="1">
        <f>+C184</f>
        <v>30</v>
      </c>
      <c r="G184" s="1"/>
      <c r="H184" s="1"/>
    </row>
    <row r="185" spans="2:8" x14ac:dyDescent="0.25">
      <c r="B185" s="1" t="s">
        <v>97</v>
      </c>
      <c r="C185" s="1">
        <v>31</v>
      </c>
      <c r="D185" s="1"/>
      <c r="E185" s="1"/>
      <c r="F185" s="1"/>
      <c r="G185" s="1">
        <f>+C185</f>
        <v>31</v>
      </c>
      <c r="H185" s="1"/>
    </row>
    <row r="186" spans="2:8" x14ac:dyDescent="0.25">
      <c r="B186" s="1" t="s">
        <v>98</v>
      </c>
      <c r="C186" s="1">
        <v>31</v>
      </c>
      <c r="D186" s="1"/>
      <c r="E186" s="1"/>
      <c r="F186" s="1"/>
      <c r="G186" s="1">
        <f>+C186</f>
        <v>31</v>
      </c>
      <c r="H186" s="1"/>
    </row>
    <row r="187" spans="2:8" x14ac:dyDescent="0.25">
      <c r="B187" s="1" t="s">
        <v>99</v>
      </c>
      <c r="C187" s="1">
        <v>30</v>
      </c>
      <c r="D187" s="1"/>
      <c r="E187" s="1"/>
      <c r="F187" s="1"/>
      <c r="G187" s="1">
        <f>+C187</f>
        <v>30</v>
      </c>
      <c r="H187" s="1"/>
    </row>
    <row r="188" spans="2:8" x14ac:dyDescent="0.25">
      <c r="B188" s="1" t="s">
        <v>100</v>
      </c>
      <c r="C188" s="1">
        <v>31</v>
      </c>
      <c r="D188" s="1"/>
      <c r="E188" s="1"/>
      <c r="F188" s="1"/>
      <c r="G188" s="1"/>
      <c r="H188" s="1">
        <f>+C188</f>
        <v>31</v>
      </c>
    </row>
    <row r="189" spans="2:8" x14ac:dyDescent="0.25">
      <c r="B189" s="1" t="s">
        <v>101</v>
      </c>
      <c r="C189" s="1">
        <v>30</v>
      </c>
      <c r="D189" s="1"/>
      <c r="E189" s="1"/>
      <c r="F189" s="1"/>
      <c r="G189" s="1"/>
      <c r="H189" s="1">
        <f>+C189</f>
        <v>30</v>
      </c>
    </row>
    <row r="190" spans="2:8" x14ac:dyDescent="0.25">
      <c r="B190" s="1" t="s">
        <v>102</v>
      </c>
      <c r="C190" s="1">
        <v>31</v>
      </c>
      <c r="D190" s="1"/>
      <c r="E190" s="1"/>
      <c r="F190" s="1"/>
      <c r="G190" s="1"/>
      <c r="H190" s="1">
        <f>+C190</f>
        <v>31</v>
      </c>
    </row>
    <row r="192" spans="2:8" x14ac:dyDescent="0.25">
      <c r="D192" s="1">
        <f>SUM(D178:D190)</f>
        <v>90</v>
      </c>
      <c r="E192" s="1">
        <f t="shared" ref="E192:H192" si="99">SUM(E178:E190)</f>
        <v>91</v>
      </c>
      <c r="F192" s="1">
        <f t="shared" si="99"/>
        <v>91</v>
      </c>
      <c r="G192" s="1">
        <f t="shared" si="99"/>
        <v>92</v>
      </c>
      <c r="H192" s="1">
        <f t="shared" si="99"/>
        <v>92</v>
      </c>
    </row>
    <row r="194" spans="3:9" ht="30" x14ac:dyDescent="0.25">
      <c r="C194" s="31" t="s">
        <v>108</v>
      </c>
      <c r="D194" s="31" t="s">
        <v>112</v>
      </c>
      <c r="E194" s="31" t="s">
        <v>109</v>
      </c>
      <c r="F194" s="31" t="s">
        <v>110</v>
      </c>
      <c r="G194" s="31" t="s">
        <v>111</v>
      </c>
      <c r="H194" s="31" t="s">
        <v>113</v>
      </c>
    </row>
    <row r="196" spans="3:9" x14ac:dyDescent="0.25">
      <c r="C196" s="1">
        <f>+D192+F192</f>
        <v>181</v>
      </c>
      <c r="D196" s="1">
        <f>+E192+F192</f>
        <v>182</v>
      </c>
      <c r="E196" s="1">
        <f>+F192+G192</f>
        <v>183</v>
      </c>
      <c r="F196" s="1">
        <f>+G192+H192</f>
        <v>184</v>
      </c>
      <c r="G196" s="1">
        <f>+H192+D192</f>
        <v>182</v>
      </c>
      <c r="H196" s="1">
        <f>+H192+E192</f>
        <v>183</v>
      </c>
    </row>
    <row r="198" spans="3:9" ht="30" x14ac:dyDescent="0.25">
      <c r="C198" s="31" t="s">
        <v>114</v>
      </c>
      <c r="D198" s="31" t="s">
        <v>115</v>
      </c>
      <c r="E198" s="31" t="s">
        <v>116</v>
      </c>
      <c r="F198" s="31" t="s">
        <v>117</v>
      </c>
      <c r="G198" s="31" t="s">
        <v>120</v>
      </c>
      <c r="H198" s="31" t="s">
        <v>118</v>
      </c>
      <c r="I198" s="29"/>
    </row>
    <row r="200" spans="3:9" x14ac:dyDescent="0.25">
      <c r="C200" s="1">
        <f>+D192+F192+G192</f>
        <v>273</v>
      </c>
      <c r="D200" s="1">
        <f>+E192+F192+G192</f>
        <v>274</v>
      </c>
      <c r="E200" s="1">
        <f>+F192+G192+H192</f>
        <v>275</v>
      </c>
      <c r="F200" s="1">
        <f>+G192+H192+D192</f>
        <v>274</v>
      </c>
      <c r="G200" s="1">
        <f>+G192+H192+E192</f>
        <v>275</v>
      </c>
      <c r="H200" s="1">
        <f>+H192+D192+F192</f>
        <v>273</v>
      </c>
    </row>
    <row r="202" spans="3:9" ht="45" x14ac:dyDescent="0.25">
      <c r="C202" s="31" t="s">
        <v>119</v>
      </c>
      <c r="D202" s="12" t="s">
        <v>122</v>
      </c>
      <c r="E202" s="12" t="s">
        <v>123</v>
      </c>
      <c r="F202" s="30"/>
    </row>
    <row r="204" spans="3:9" x14ac:dyDescent="0.25">
      <c r="C204" s="1">
        <f>+H192+E192+F192</f>
        <v>274</v>
      </c>
      <c r="D204" s="1">
        <f>+D192+F192+G192+H192</f>
        <v>365</v>
      </c>
      <c r="E204" s="1">
        <f>+E192+F192+G192+H192</f>
        <v>366</v>
      </c>
    </row>
  </sheetData>
  <pageMargins left="0.7" right="0.7" top="0.75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5"/>
  <sheetViews>
    <sheetView topLeftCell="A11" workbookViewId="0">
      <selection activeCell="U28" sqref="U28"/>
    </sheetView>
  </sheetViews>
  <sheetFormatPr defaultRowHeight="15" x14ac:dyDescent="0.25"/>
  <cols>
    <col min="1" max="1" width="4.28515625" customWidth="1"/>
    <col min="2" max="2" width="35" customWidth="1"/>
    <col min="20" max="20" width="13" customWidth="1"/>
  </cols>
  <sheetData>
    <row r="2" spans="2:20" x14ac:dyDescent="0.25">
      <c r="B2" s="1" t="s">
        <v>57</v>
      </c>
      <c r="C2" s="44" t="s">
        <v>134</v>
      </c>
      <c r="D2" s="44" t="s">
        <v>21</v>
      </c>
      <c r="E2" s="44" t="s">
        <v>25</v>
      </c>
      <c r="F2" s="44" t="s">
        <v>26</v>
      </c>
      <c r="G2" s="44" t="s">
        <v>27</v>
      </c>
      <c r="H2" s="44" t="s">
        <v>28</v>
      </c>
      <c r="I2" s="44" t="s">
        <v>29</v>
      </c>
      <c r="J2" s="44" t="s">
        <v>30</v>
      </c>
      <c r="K2" s="44" t="s">
        <v>31</v>
      </c>
      <c r="L2" s="44" t="s">
        <v>32</v>
      </c>
      <c r="M2" s="44" t="s">
        <v>33</v>
      </c>
      <c r="N2" s="44" t="s">
        <v>34</v>
      </c>
      <c r="O2" s="44" t="s">
        <v>35</v>
      </c>
      <c r="P2" s="44" t="s">
        <v>36</v>
      </c>
      <c r="Q2" s="44" t="s">
        <v>37</v>
      </c>
      <c r="R2" s="44" t="s">
        <v>38</v>
      </c>
      <c r="S2" s="44" t="s">
        <v>39</v>
      </c>
      <c r="T2" s="44" t="s">
        <v>40</v>
      </c>
    </row>
    <row r="3" spans="2:20" x14ac:dyDescent="0.25">
      <c r="B3" s="1" t="s">
        <v>41</v>
      </c>
      <c r="C3" s="48">
        <f>+LPP!G93</f>
        <v>322.99142857142857</v>
      </c>
      <c r="D3" s="48">
        <f>+LPP!H93</f>
        <v>316.16457142857143</v>
      </c>
      <c r="E3" s="48">
        <f>+LPP!I93</f>
        <v>334.76971428571426</v>
      </c>
      <c r="F3" s="48">
        <f>+LPP!J93</f>
        <v>343.892</v>
      </c>
      <c r="G3" s="48">
        <f>+LPP!K93</f>
        <v>391.76514285714285</v>
      </c>
      <c r="H3" s="48">
        <f>+LPP!L93</f>
        <v>389.52800000000002</v>
      </c>
      <c r="I3" s="48">
        <f>+LPP!M93</f>
        <v>359.12114285714284</v>
      </c>
      <c r="J3" s="48">
        <f>+LPP!N93</f>
        <v>369.74685714285715</v>
      </c>
      <c r="K3" s="48">
        <f>+LPP!O93</f>
        <v>420.88342857142857</v>
      </c>
      <c r="L3" s="48">
        <f>+LPP!P93</f>
        <v>434.8477272727273</v>
      </c>
      <c r="M3" s="48">
        <f>+LPP!Q93</f>
        <v>393.02159090909089</v>
      </c>
      <c r="N3" s="48">
        <f>+LPP!R93</f>
        <v>435.21516853932582</v>
      </c>
      <c r="O3" s="48">
        <f>+LPP!S93</f>
        <v>510.78314606741571</v>
      </c>
      <c r="P3" s="48">
        <f>+LPP!T93</f>
        <v>533.02471910112365</v>
      </c>
      <c r="Q3" s="4">
        <f>+LPP!U93</f>
        <v>498.57921348314602</v>
      </c>
      <c r="R3" s="4">
        <f>+LPP!V93</f>
        <v>581.33770491803273</v>
      </c>
      <c r="S3" s="4">
        <f>+LPP!W93</f>
        <v>662.35792349726773</v>
      </c>
      <c r="T3" s="4">
        <f>+LPP!X93</f>
        <v>673.43551912568296</v>
      </c>
    </row>
    <row r="4" spans="2:20" x14ac:dyDescent="0.25">
      <c r="B4" s="1" t="s">
        <v>138</v>
      </c>
      <c r="C4" s="48">
        <f>-LPP!G117</f>
        <v>184.18057142857143</v>
      </c>
      <c r="D4" s="48">
        <f>-LPP!H117</f>
        <v>186.99828571428571</v>
      </c>
      <c r="E4" s="48">
        <f>-LPP!I117</f>
        <v>158.26285714285714</v>
      </c>
      <c r="F4" s="48">
        <f>-LPP!J117</f>
        <v>218.05542857142859</v>
      </c>
      <c r="G4" s="48">
        <f>-LPP!K117</f>
        <v>198.7</v>
      </c>
      <c r="H4" s="48">
        <f>-LPP!L117</f>
        <v>196.39828571428572</v>
      </c>
      <c r="I4" s="48">
        <f>-LPP!M117</f>
        <v>177.548</v>
      </c>
      <c r="J4" s="48">
        <f>-LPP!N117</f>
        <v>176.93085714285712</v>
      </c>
      <c r="K4" s="48">
        <f>-LPP!O117</f>
        <v>160.70342857142859</v>
      </c>
      <c r="L4" s="48">
        <f>-LPP!P117</f>
        <v>149.16704545454544</v>
      </c>
      <c r="M4" s="48">
        <f>-LPP!Q117</f>
        <v>131.35227272727275</v>
      </c>
      <c r="N4" s="48">
        <f>-LPP!R117</f>
        <v>114.52247191011236</v>
      </c>
      <c r="O4" s="48">
        <f>-LPP!S117</f>
        <v>50.2</v>
      </c>
      <c r="P4" s="48">
        <f>-LPP!T117</f>
        <v>48.897752808988763</v>
      </c>
      <c r="Q4" s="4">
        <f>-LPP!U117</f>
        <v>84.36011235955057</v>
      </c>
      <c r="R4" s="4">
        <f>-LPP!V117</f>
        <v>80.754644808743166</v>
      </c>
      <c r="S4" s="4">
        <f>-LPP!W117</f>
        <v>71.577049180327876</v>
      </c>
      <c r="T4" s="4">
        <f>-LPP!X117</f>
        <v>107.15027322404372</v>
      </c>
    </row>
    <row r="5" spans="2:20" x14ac:dyDescent="0.25">
      <c r="B5" s="1" t="s">
        <v>160</v>
      </c>
      <c r="C5" s="48">
        <f>+LPP!G121</f>
        <v>0</v>
      </c>
      <c r="D5" s="48">
        <f>+LPP!H121</f>
        <v>0</v>
      </c>
      <c r="E5" s="48">
        <f>+LPP!I121</f>
        <v>0</v>
      </c>
      <c r="F5" s="48">
        <f>+LPP!J121</f>
        <v>0</v>
      </c>
      <c r="G5" s="48">
        <f>+LPP!K121</f>
        <v>0</v>
      </c>
      <c r="H5" s="48">
        <f>+LPP!L121</f>
        <v>0</v>
      </c>
      <c r="I5" s="48">
        <f>+LPP!M121</f>
        <v>0</v>
      </c>
      <c r="J5" s="48">
        <f>+LPP!N121</f>
        <v>50</v>
      </c>
      <c r="K5" s="48">
        <f>+LPP!O121</f>
        <v>50</v>
      </c>
      <c r="L5" s="48">
        <f>+LPP!P121</f>
        <v>50</v>
      </c>
      <c r="M5" s="48">
        <f>+LPP!Q121</f>
        <v>50</v>
      </c>
      <c r="N5" s="48">
        <f>+LPP!R121</f>
        <v>76.86</v>
      </c>
      <c r="O5" s="48">
        <f>+LPP!S121</f>
        <v>76.86</v>
      </c>
      <c r="P5" s="48">
        <f>+LPP!T121</f>
        <v>76.86</v>
      </c>
      <c r="Q5" s="4">
        <f>+LPP!U121</f>
        <v>76.86</v>
      </c>
      <c r="R5" s="4">
        <f>+LPP!V121</f>
        <v>77.36</v>
      </c>
      <c r="S5" s="4">
        <f>+LPP!W121</f>
        <v>77.36</v>
      </c>
      <c r="T5" s="4">
        <f>+LPP!X121</f>
        <v>77.36</v>
      </c>
    </row>
    <row r="6" spans="2:20" x14ac:dyDescent="0.25">
      <c r="B6" s="1" t="s">
        <v>86</v>
      </c>
      <c r="C6" s="48">
        <f>+LPP!G122</f>
        <v>632.82799999999997</v>
      </c>
      <c r="D6" s="48">
        <f>+LPP!H122</f>
        <v>456.33714285714285</v>
      </c>
      <c r="E6" s="48">
        <f>+LPP!I122</f>
        <v>681.96742857142863</v>
      </c>
      <c r="F6" s="48">
        <f>+LPP!J122</f>
        <v>963.05257142857147</v>
      </c>
      <c r="G6" s="48">
        <f>+LPP!K122</f>
        <v>999.53485714285716</v>
      </c>
      <c r="H6" s="48">
        <f>+LPP!L122</f>
        <v>1255.5737142857142</v>
      </c>
      <c r="I6" s="48">
        <f>+LPP!M122</f>
        <v>1185.3308571428572</v>
      </c>
      <c r="J6" s="48">
        <f>+LPP!N122</f>
        <v>1238.3222857142857</v>
      </c>
      <c r="K6" s="48">
        <f>+LPP!O122</f>
        <v>1533.4131428571427</v>
      </c>
      <c r="L6" s="48">
        <f>+LPP!P122</f>
        <v>1425.9852272727273</v>
      </c>
      <c r="M6" s="48">
        <f>+LPP!Q122</f>
        <v>1665.6261363636363</v>
      </c>
      <c r="N6" s="48">
        <f>+LPP!R122</f>
        <v>1348.4023595505619</v>
      </c>
      <c r="O6" s="48">
        <f>+LPP!S122</f>
        <v>1378.1568539325845</v>
      </c>
      <c r="P6" s="48">
        <f>+LPP!T122</f>
        <v>1976.2175280898875</v>
      </c>
      <c r="Q6" s="4">
        <f>+LPP!U122</f>
        <v>2580.7006741573032</v>
      </c>
      <c r="R6" s="4">
        <f>+LPP!V122</f>
        <v>2660.547650273224</v>
      </c>
      <c r="S6" s="4">
        <f>+LPP!W122</f>
        <v>3738.7050273224049</v>
      </c>
      <c r="T6" s="4">
        <f>+LPP!X122</f>
        <v>4792.0542076502734</v>
      </c>
    </row>
    <row r="7" spans="2:20" x14ac:dyDescent="0.25"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2:20" x14ac:dyDescent="0.25">
      <c r="B8" s="1" t="s">
        <v>87</v>
      </c>
      <c r="C8" s="4">
        <f t="shared" ref="C8:T8" si="0">SUM(C3:C7)</f>
        <v>1140</v>
      </c>
      <c r="D8" s="4">
        <f t="shared" si="0"/>
        <v>959.5</v>
      </c>
      <c r="E8" s="4">
        <f t="shared" si="0"/>
        <v>1175</v>
      </c>
      <c r="F8" s="4">
        <f t="shared" si="0"/>
        <v>1525</v>
      </c>
      <c r="G8" s="4">
        <f t="shared" si="0"/>
        <v>1590</v>
      </c>
      <c r="H8" s="4">
        <f t="shared" si="0"/>
        <v>1841.5</v>
      </c>
      <c r="I8" s="4">
        <f t="shared" si="0"/>
        <v>1722</v>
      </c>
      <c r="J8" s="4">
        <f t="shared" si="0"/>
        <v>1835</v>
      </c>
      <c r="K8" s="4">
        <f t="shared" si="0"/>
        <v>2165</v>
      </c>
      <c r="L8" s="4">
        <f t="shared" si="0"/>
        <v>2060</v>
      </c>
      <c r="M8" s="4">
        <f t="shared" si="0"/>
        <v>2240</v>
      </c>
      <c r="N8" s="4">
        <f t="shared" si="0"/>
        <v>1975</v>
      </c>
      <c r="O8" s="4">
        <f t="shared" si="0"/>
        <v>2016.0000000000002</v>
      </c>
      <c r="P8" s="4">
        <f t="shared" si="0"/>
        <v>2635</v>
      </c>
      <c r="Q8" s="4">
        <f t="shared" si="0"/>
        <v>3240.5</v>
      </c>
      <c r="R8" s="4">
        <f t="shared" si="0"/>
        <v>3400</v>
      </c>
      <c r="S8" s="4">
        <f t="shared" si="0"/>
        <v>4550.0000000000009</v>
      </c>
      <c r="T8" s="4">
        <f t="shared" si="0"/>
        <v>5650</v>
      </c>
    </row>
    <row r="9" spans="2:20" x14ac:dyDescent="0.25"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2:20" x14ac:dyDescent="0.25">
      <c r="B10" s="1" t="s">
        <v>161</v>
      </c>
      <c r="C10" s="4">
        <f>+LPP!G54</f>
        <v>1140</v>
      </c>
      <c r="D10" s="4">
        <f>+LPP!H54</f>
        <v>959.5</v>
      </c>
      <c r="E10" s="4">
        <f>+LPP!I54</f>
        <v>1175</v>
      </c>
      <c r="F10" s="4">
        <f>+LPP!J54</f>
        <v>1525</v>
      </c>
      <c r="G10" s="4">
        <f>+LPP!K54</f>
        <v>1590</v>
      </c>
      <c r="H10" s="4">
        <f>+LPP!L54</f>
        <v>1841.5</v>
      </c>
      <c r="I10" s="4">
        <f>+LPP!M54</f>
        <v>1722</v>
      </c>
      <c r="J10" s="4">
        <f>+LPP!N54</f>
        <v>1835</v>
      </c>
      <c r="K10" s="4">
        <f>+LPP!O54</f>
        <v>2165</v>
      </c>
      <c r="L10" s="4">
        <f>+LPP!P54</f>
        <v>2060</v>
      </c>
      <c r="M10" s="4">
        <f>+LPP!Q54</f>
        <v>2240</v>
      </c>
      <c r="N10" s="4">
        <f>+LPP!R54</f>
        <v>1975</v>
      </c>
      <c r="O10" s="4">
        <f>+LPP!S54</f>
        <v>2016</v>
      </c>
      <c r="P10" s="4">
        <f>+LPP!T54</f>
        <v>2635</v>
      </c>
      <c r="Q10" s="4">
        <f>+LPP!U54</f>
        <v>3240.5</v>
      </c>
      <c r="R10" s="4">
        <f>+LPP!V54</f>
        <v>3400</v>
      </c>
      <c r="S10" s="4">
        <f>+LPP!W54</f>
        <v>4550</v>
      </c>
      <c r="T10" s="4">
        <f>+LPP!X54</f>
        <v>5650</v>
      </c>
    </row>
    <row r="12" spans="2:20" x14ac:dyDescent="0.25">
      <c r="B12" s="1" t="s">
        <v>57</v>
      </c>
      <c r="C12" s="44" t="s">
        <v>134</v>
      </c>
      <c r="D12" s="44" t="s">
        <v>21</v>
      </c>
      <c r="E12" s="44" t="s">
        <v>25</v>
      </c>
      <c r="F12" s="44" t="s">
        <v>26</v>
      </c>
      <c r="G12" s="44" t="s">
        <v>27</v>
      </c>
      <c r="H12" s="44" t="s">
        <v>28</v>
      </c>
      <c r="I12" s="44" t="s">
        <v>29</v>
      </c>
      <c r="J12" s="44" t="s">
        <v>30</v>
      </c>
      <c r="K12" s="44" t="s">
        <v>31</v>
      </c>
      <c r="L12" s="44" t="s">
        <v>32</v>
      </c>
      <c r="M12" s="44" t="s">
        <v>33</v>
      </c>
      <c r="N12" s="44" t="s">
        <v>34</v>
      </c>
      <c r="O12" s="44" t="s">
        <v>35</v>
      </c>
      <c r="P12" s="44" t="s">
        <v>36</v>
      </c>
      <c r="Q12" s="44" t="s">
        <v>37</v>
      </c>
      <c r="R12" s="44" t="s">
        <v>38</v>
      </c>
      <c r="S12" s="44" t="s">
        <v>39</v>
      </c>
      <c r="T12" s="44" t="s">
        <v>40</v>
      </c>
    </row>
    <row r="13" spans="2:20" x14ac:dyDescent="0.25">
      <c r="B13" s="28" t="s">
        <v>160</v>
      </c>
      <c r="C13" s="48">
        <f t="shared" ref="C13:T13" si="1">+C5</f>
        <v>0</v>
      </c>
      <c r="D13" s="48">
        <f t="shared" si="1"/>
        <v>0</v>
      </c>
      <c r="E13" s="48">
        <f t="shared" si="1"/>
        <v>0</v>
      </c>
      <c r="F13" s="48">
        <f t="shared" si="1"/>
        <v>0</v>
      </c>
      <c r="G13" s="48">
        <f t="shared" si="1"/>
        <v>0</v>
      </c>
      <c r="H13" s="48">
        <f t="shared" si="1"/>
        <v>0</v>
      </c>
      <c r="I13" s="48">
        <f t="shared" si="1"/>
        <v>0</v>
      </c>
      <c r="J13" s="48">
        <f t="shared" si="1"/>
        <v>50</v>
      </c>
      <c r="K13" s="48">
        <f t="shared" si="1"/>
        <v>50</v>
      </c>
      <c r="L13" s="48">
        <f t="shared" si="1"/>
        <v>50</v>
      </c>
      <c r="M13" s="48">
        <f t="shared" si="1"/>
        <v>50</v>
      </c>
      <c r="N13" s="48">
        <f t="shared" si="1"/>
        <v>76.86</v>
      </c>
      <c r="O13" s="48">
        <f t="shared" si="1"/>
        <v>76.86</v>
      </c>
      <c r="P13" s="48">
        <f t="shared" si="1"/>
        <v>76.86</v>
      </c>
      <c r="Q13" s="48">
        <f t="shared" si="1"/>
        <v>76.86</v>
      </c>
      <c r="R13" s="48">
        <f t="shared" si="1"/>
        <v>77.36</v>
      </c>
      <c r="S13" s="48">
        <f t="shared" si="1"/>
        <v>77.36</v>
      </c>
      <c r="T13" s="48">
        <f t="shared" si="1"/>
        <v>77.36</v>
      </c>
    </row>
    <row r="14" spans="2:20" x14ac:dyDescent="0.25">
      <c r="B14" s="1" t="s">
        <v>166</v>
      </c>
      <c r="C14" s="48">
        <f>+C3</f>
        <v>322.99142857142857</v>
      </c>
      <c r="D14" s="48">
        <f t="shared" ref="D14:T14" si="2">+D3</f>
        <v>316.16457142857143</v>
      </c>
      <c r="E14" s="48">
        <f t="shared" si="2"/>
        <v>334.76971428571426</v>
      </c>
      <c r="F14" s="48">
        <f t="shared" si="2"/>
        <v>343.892</v>
      </c>
      <c r="G14" s="48">
        <f t="shared" si="2"/>
        <v>391.76514285714285</v>
      </c>
      <c r="H14" s="48">
        <f t="shared" si="2"/>
        <v>389.52800000000002</v>
      </c>
      <c r="I14" s="48">
        <f t="shared" si="2"/>
        <v>359.12114285714284</v>
      </c>
      <c r="J14" s="48">
        <f t="shared" si="2"/>
        <v>369.74685714285715</v>
      </c>
      <c r="K14" s="48">
        <f t="shared" si="2"/>
        <v>420.88342857142857</v>
      </c>
      <c r="L14" s="48">
        <f t="shared" si="2"/>
        <v>434.8477272727273</v>
      </c>
      <c r="M14" s="48">
        <f t="shared" si="2"/>
        <v>393.02159090909089</v>
      </c>
      <c r="N14" s="48">
        <f t="shared" si="2"/>
        <v>435.21516853932582</v>
      </c>
      <c r="O14" s="48">
        <f t="shared" si="2"/>
        <v>510.78314606741571</v>
      </c>
      <c r="P14" s="48">
        <f t="shared" si="2"/>
        <v>533.02471910112365</v>
      </c>
      <c r="Q14" s="48">
        <f t="shared" si="2"/>
        <v>498.57921348314602</v>
      </c>
      <c r="R14" s="48">
        <f t="shared" si="2"/>
        <v>581.33770491803273</v>
      </c>
      <c r="S14" s="48">
        <f t="shared" si="2"/>
        <v>662.35792349726773</v>
      </c>
      <c r="T14" s="48">
        <f t="shared" si="2"/>
        <v>673.43551912568296</v>
      </c>
    </row>
    <row r="15" spans="2:20" x14ac:dyDescent="0.25">
      <c r="B15" s="28" t="s">
        <v>167</v>
      </c>
      <c r="C15" s="48">
        <f t="shared" ref="C15:T15" si="3">+C8</f>
        <v>1140</v>
      </c>
      <c r="D15" s="48">
        <f t="shared" si="3"/>
        <v>959.5</v>
      </c>
      <c r="E15" s="48">
        <f t="shared" si="3"/>
        <v>1175</v>
      </c>
      <c r="F15" s="48">
        <f t="shared" si="3"/>
        <v>1525</v>
      </c>
      <c r="G15" s="48">
        <f t="shared" si="3"/>
        <v>1590</v>
      </c>
      <c r="H15" s="48">
        <f t="shared" si="3"/>
        <v>1841.5</v>
      </c>
      <c r="I15" s="48">
        <f t="shared" si="3"/>
        <v>1722</v>
      </c>
      <c r="J15" s="48">
        <f t="shared" si="3"/>
        <v>1835</v>
      </c>
      <c r="K15" s="48">
        <f t="shared" si="3"/>
        <v>2165</v>
      </c>
      <c r="L15" s="48">
        <f t="shared" si="3"/>
        <v>2060</v>
      </c>
      <c r="M15" s="48">
        <f t="shared" si="3"/>
        <v>2240</v>
      </c>
      <c r="N15" s="48">
        <f t="shared" si="3"/>
        <v>1975</v>
      </c>
      <c r="O15" s="48">
        <f t="shared" si="3"/>
        <v>2016.0000000000002</v>
      </c>
      <c r="P15" s="48">
        <f t="shared" si="3"/>
        <v>2635</v>
      </c>
      <c r="Q15" s="48">
        <f t="shared" si="3"/>
        <v>3240.5</v>
      </c>
      <c r="R15" s="48">
        <f t="shared" si="3"/>
        <v>3400</v>
      </c>
      <c r="S15" s="48">
        <f t="shared" si="3"/>
        <v>4550.0000000000009</v>
      </c>
      <c r="T15" s="48">
        <f t="shared" si="3"/>
        <v>5650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LPP</vt:lpstr>
      <vt:lpstr>SCA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Admin3</dc:creator>
  <cp:lastModifiedBy>Admin3</cp:lastModifiedBy>
  <cp:lastPrinted>2014-06-20T07:06:41Z</cp:lastPrinted>
  <dcterms:created xsi:type="dcterms:W3CDTF">2014-05-20T15:27:54Z</dcterms:created>
  <dcterms:modified xsi:type="dcterms:W3CDTF">2014-06-21T20:04:24Z</dcterms:modified>
</cp:coreProperties>
</file>