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3\Desktop\Roj\wykresy\wskaznikowa\"/>
    </mc:Choice>
  </mc:AlternateContent>
  <bookViews>
    <workbookView xWindow="0" yWindow="0" windowWidth="24000" windowHeight="9735" activeTab="1"/>
  </bookViews>
  <sheets>
    <sheet name="KGHM" sheetId="1" r:id="rId1"/>
    <sheet name="SCA" sheetId="1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Q41" i="1"/>
  <c r="J99" i="1" l="1"/>
  <c r="K99" i="1"/>
  <c r="L99" i="1" s="1"/>
  <c r="M99" i="1"/>
  <c r="I97" i="1"/>
  <c r="J97" i="1"/>
  <c r="K97" i="1"/>
  <c r="G96" i="1"/>
  <c r="G95" i="1"/>
  <c r="G107" i="1" s="1"/>
  <c r="X83" i="1"/>
  <c r="W83" i="1"/>
  <c r="X55" i="1"/>
  <c r="X54" i="1"/>
  <c r="W55" i="1"/>
  <c r="W54" i="1"/>
  <c r="V55" i="1"/>
  <c r="V54" i="1"/>
  <c r="U55" i="1"/>
  <c r="U54" i="1"/>
  <c r="T55" i="1"/>
  <c r="T54" i="1"/>
  <c r="S55" i="1"/>
  <c r="S54" i="1"/>
  <c r="R55" i="1"/>
  <c r="R54" i="1"/>
  <c r="Q55" i="1"/>
  <c r="Q54" i="1"/>
  <c r="P55" i="1"/>
  <c r="P54" i="1"/>
  <c r="O55" i="1"/>
  <c r="O54" i="1"/>
  <c r="N55" i="1"/>
  <c r="N54" i="1"/>
  <c r="M55" i="1"/>
  <c r="M54" i="1"/>
  <c r="L55" i="1"/>
  <c r="L54" i="1"/>
  <c r="K55" i="1"/>
  <c r="K54" i="1"/>
  <c r="J55" i="1"/>
  <c r="J54" i="1"/>
  <c r="I54" i="1"/>
  <c r="I55" i="1"/>
  <c r="H54" i="1"/>
  <c r="G54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W44" i="1"/>
  <c r="V44" i="1"/>
  <c r="U44" i="1"/>
  <c r="W43" i="1"/>
  <c r="V43" i="1"/>
  <c r="U43" i="1"/>
  <c r="W41" i="1"/>
  <c r="V41" i="1"/>
  <c r="U41" i="1"/>
  <c r="W39" i="1"/>
  <c r="V39" i="1"/>
  <c r="U39" i="1"/>
  <c r="W37" i="1"/>
  <c r="V37" i="1"/>
  <c r="U37" i="1"/>
  <c r="S44" i="1"/>
  <c r="R44" i="1"/>
  <c r="Q44" i="1"/>
  <c r="S43" i="1"/>
  <c r="R43" i="1"/>
  <c r="Q43" i="1"/>
  <c r="R41" i="1"/>
  <c r="S41" i="1" s="1"/>
  <c r="R39" i="1"/>
  <c r="S39" i="1" s="1"/>
  <c r="S37" i="1"/>
  <c r="R37" i="1"/>
  <c r="Q37" i="1"/>
  <c r="O44" i="1"/>
  <c r="N44" i="1"/>
  <c r="M44" i="1"/>
  <c r="O43" i="1"/>
  <c r="N43" i="1"/>
  <c r="M43" i="1"/>
  <c r="O41" i="1"/>
  <c r="N41" i="1"/>
  <c r="M41" i="1"/>
  <c r="O39" i="1"/>
  <c r="N39" i="1"/>
  <c r="M39" i="1"/>
  <c r="O37" i="1"/>
  <c r="N37" i="1"/>
  <c r="M37" i="1"/>
  <c r="K44" i="1"/>
  <c r="J44" i="1"/>
  <c r="I44" i="1"/>
  <c r="K43" i="1"/>
  <c r="J43" i="1"/>
  <c r="I43" i="1"/>
  <c r="K41" i="1"/>
  <c r="J41" i="1"/>
  <c r="I41" i="1"/>
  <c r="K39" i="1"/>
  <c r="J39" i="1"/>
  <c r="I39" i="1"/>
  <c r="K37" i="1"/>
  <c r="J37" i="1"/>
  <c r="I37" i="1"/>
  <c r="I100" i="1" l="1"/>
  <c r="H100" i="1"/>
  <c r="U31" i="1"/>
  <c r="Q31" i="1"/>
  <c r="M31" i="1"/>
  <c r="I31" i="1"/>
  <c r="H21" i="1"/>
  <c r="H18" i="1"/>
  <c r="H12" i="1"/>
  <c r="H9" i="1"/>
  <c r="G21" i="1"/>
  <c r="G18" i="1"/>
  <c r="G12" i="1"/>
  <c r="G9" i="1"/>
  <c r="L42" i="1"/>
  <c r="H25" i="1" l="1"/>
  <c r="H27" i="1" s="1"/>
  <c r="G25" i="1"/>
  <c r="G27" i="1" s="1"/>
  <c r="G169" i="1"/>
  <c r="G168" i="1"/>
  <c r="F168" i="1"/>
  <c r="E168" i="1"/>
  <c r="D16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R32" i="1"/>
  <c r="P32" i="1"/>
  <c r="X94" i="1"/>
  <c r="T94" i="1"/>
  <c r="P94" i="1"/>
  <c r="L94" i="1"/>
  <c r="W94" i="1" l="1"/>
  <c r="G170" i="1"/>
  <c r="G173" i="1" s="1"/>
  <c r="F170" i="1"/>
  <c r="F169" i="1"/>
  <c r="U94" i="1"/>
  <c r="V94" i="1"/>
  <c r="F171" i="1"/>
  <c r="S94" i="1"/>
  <c r="E169" i="1"/>
  <c r="Q94" i="1"/>
  <c r="R94" i="1"/>
  <c r="E171" i="1"/>
  <c r="O94" i="1"/>
  <c r="E170" i="1"/>
  <c r="H170" i="1" s="1"/>
  <c r="D170" i="1"/>
  <c r="N94" i="1"/>
  <c r="D169" i="1"/>
  <c r="M94" i="1"/>
  <c r="D171" i="1"/>
  <c r="K94" i="1"/>
  <c r="I168" i="1"/>
  <c r="H168" i="1"/>
  <c r="I40" i="1"/>
  <c r="X121" i="1"/>
  <c r="T5" i="11" s="1"/>
  <c r="T13" i="11" s="1"/>
  <c r="W121" i="1"/>
  <c r="S5" i="11" s="1"/>
  <c r="S13" i="11" s="1"/>
  <c r="V121" i="1"/>
  <c r="R5" i="11" s="1"/>
  <c r="R13" i="11" s="1"/>
  <c r="U121" i="1"/>
  <c r="Q5" i="11" s="1"/>
  <c r="Q13" i="11" s="1"/>
  <c r="T121" i="1"/>
  <c r="P5" i="11" s="1"/>
  <c r="P13" i="11" s="1"/>
  <c r="S121" i="1"/>
  <c r="O5" i="11" s="1"/>
  <c r="O13" i="11" s="1"/>
  <c r="R121" i="1"/>
  <c r="N5" i="11" s="1"/>
  <c r="N13" i="11" s="1"/>
  <c r="Q121" i="1"/>
  <c r="M5" i="11" s="1"/>
  <c r="M13" i="11" s="1"/>
  <c r="P121" i="1"/>
  <c r="L5" i="11" s="1"/>
  <c r="L13" i="11" s="1"/>
  <c r="O121" i="1"/>
  <c r="K5" i="11" s="1"/>
  <c r="K13" i="11" s="1"/>
  <c r="N121" i="1"/>
  <c r="J5" i="11" s="1"/>
  <c r="J13" i="11" s="1"/>
  <c r="M121" i="1"/>
  <c r="I5" i="11" s="1"/>
  <c r="I13" i="11" s="1"/>
  <c r="L121" i="1"/>
  <c r="H5" i="11" s="1"/>
  <c r="H13" i="11" s="1"/>
  <c r="K121" i="1"/>
  <c r="G5" i="11" s="1"/>
  <c r="G13" i="11" s="1"/>
  <c r="J121" i="1"/>
  <c r="F5" i="11" s="1"/>
  <c r="F13" i="11" s="1"/>
  <c r="I121" i="1"/>
  <c r="E5" i="11" s="1"/>
  <c r="E13" i="11" s="1"/>
  <c r="H121" i="1"/>
  <c r="D5" i="11" s="1"/>
  <c r="D13" i="11" s="1"/>
  <c r="X117" i="1"/>
  <c r="T4" i="11" s="1"/>
  <c r="W117" i="1"/>
  <c r="S4" i="11" s="1"/>
  <c r="V117" i="1"/>
  <c r="R4" i="11" s="1"/>
  <c r="U117" i="1"/>
  <c r="Q4" i="11" s="1"/>
  <c r="T117" i="1"/>
  <c r="P4" i="11" s="1"/>
  <c r="S117" i="1"/>
  <c r="O4" i="11" s="1"/>
  <c r="R117" i="1"/>
  <c r="N4" i="11" s="1"/>
  <c r="Q117" i="1"/>
  <c r="M4" i="11" s="1"/>
  <c r="P117" i="1"/>
  <c r="L4" i="11" s="1"/>
  <c r="O117" i="1"/>
  <c r="K4" i="11" s="1"/>
  <c r="N117" i="1"/>
  <c r="J4" i="11" s="1"/>
  <c r="M117" i="1"/>
  <c r="I4" i="11" s="1"/>
  <c r="L117" i="1"/>
  <c r="H4" i="11" s="1"/>
  <c r="K117" i="1"/>
  <c r="G4" i="11" s="1"/>
  <c r="J117" i="1"/>
  <c r="F4" i="11" s="1"/>
  <c r="I117" i="1"/>
  <c r="E4" i="11" s="1"/>
  <c r="H117" i="1"/>
  <c r="D4" i="11" s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7" i="1"/>
  <c r="C4" i="11" s="1"/>
  <c r="G116" i="1"/>
  <c r="G121" i="1"/>
  <c r="C5" i="11" s="1"/>
  <c r="C13" i="11" s="1"/>
  <c r="I170" i="1" l="1"/>
  <c r="J170" i="1" s="1"/>
  <c r="I171" i="1"/>
  <c r="D173" i="1"/>
  <c r="F173" i="1"/>
  <c r="H171" i="1"/>
  <c r="E173" i="1"/>
  <c r="I169" i="1"/>
  <c r="H169" i="1"/>
  <c r="J168" i="1"/>
  <c r="V119" i="1"/>
  <c r="U119" i="1"/>
  <c r="W119" i="1"/>
  <c r="X119" i="1"/>
  <c r="S119" i="1"/>
  <c r="R119" i="1"/>
  <c r="Q119" i="1"/>
  <c r="T119" i="1"/>
  <c r="O119" i="1"/>
  <c r="N119" i="1"/>
  <c r="M119" i="1"/>
  <c r="P119" i="1"/>
  <c r="K119" i="1"/>
  <c r="J119" i="1"/>
  <c r="I119" i="1"/>
  <c r="L119" i="1"/>
  <c r="H119" i="1"/>
  <c r="G119" i="1"/>
  <c r="H174" i="1" l="1"/>
  <c r="J171" i="1"/>
  <c r="H173" i="1"/>
  <c r="J169" i="1"/>
  <c r="V99" i="1"/>
  <c r="W99" i="1" s="1"/>
  <c r="X99" i="1" s="1"/>
  <c r="R99" i="1"/>
  <c r="S99" i="1" s="1"/>
  <c r="T99" i="1" s="1"/>
  <c r="U99" i="1" s="1"/>
  <c r="N99" i="1"/>
  <c r="O99" i="1" s="1"/>
  <c r="P99" i="1" s="1"/>
  <c r="Q99" i="1" s="1"/>
  <c r="J173" i="1" l="1"/>
  <c r="K170" i="1" s="1"/>
  <c r="F44" i="1" s="1"/>
  <c r="X93" i="1"/>
  <c r="T3" i="11" s="1"/>
  <c r="T14" i="11" s="1"/>
  <c r="W93" i="1"/>
  <c r="S3" i="11" s="1"/>
  <c r="S14" i="11" s="1"/>
  <c r="V93" i="1"/>
  <c r="R3" i="11" s="1"/>
  <c r="R14" i="11" s="1"/>
  <c r="U93" i="1"/>
  <c r="Q3" i="11" s="1"/>
  <c r="Q14" i="11" s="1"/>
  <c r="T93" i="1"/>
  <c r="P3" i="11" s="1"/>
  <c r="P14" i="11" s="1"/>
  <c r="S93" i="1"/>
  <c r="O3" i="11" s="1"/>
  <c r="O14" i="11" s="1"/>
  <c r="R93" i="1"/>
  <c r="N3" i="11" s="1"/>
  <c r="N14" i="11" s="1"/>
  <c r="Q93" i="1"/>
  <c r="M3" i="11" s="1"/>
  <c r="M14" i="11" s="1"/>
  <c r="P93" i="1"/>
  <c r="L3" i="11" s="1"/>
  <c r="L14" i="11" s="1"/>
  <c r="O93" i="1"/>
  <c r="K3" i="11" s="1"/>
  <c r="K14" i="11" s="1"/>
  <c r="M93" i="1"/>
  <c r="I3" i="11" s="1"/>
  <c r="I14" i="11" s="1"/>
  <c r="L93" i="1"/>
  <c r="H3" i="11" s="1"/>
  <c r="H14" i="11" s="1"/>
  <c r="K93" i="1"/>
  <c r="G3" i="11" s="1"/>
  <c r="G14" i="11" s="1"/>
  <c r="I93" i="1"/>
  <c r="E3" i="11" s="1"/>
  <c r="E14" i="11" s="1"/>
  <c r="H93" i="1"/>
  <c r="D3" i="11" s="1"/>
  <c r="D14" i="11" s="1"/>
  <c r="G93" i="1"/>
  <c r="C3" i="11" s="1"/>
  <c r="C14" i="11" s="1"/>
  <c r="K169" i="1" l="1"/>
  <c r="E44" i="1" s="1"/>
  <c r="K168" i="1"/>
  <c r="D44" i="1" s="1"/>
  <c r="K171" i="1"/>
  <c r="G44" i="1" s="1"/>
  <c r="H94" i="1" s="1"/>
  <c r="J93" i="1"/>
  <c r="F3" i="11" s="1"/>
  <c r="F14" i="11" s="1"/>
  <c r="AA44" i="1" l="1"/>
  <c r="I94" i="1"/>
  <c r="G94" i="1"/>
  <c r="K173" i="1"/>
  <c r="J94" i="1"/>
  <c r="X9" i="1"/>
  <c r="X12" i="1"/>
  <c r="X18" i="1"/>
  <c r="X21" i="1"/>
  <c r="X29" i="1"/>
  <c r="X30" i="1"/>
  <c r="X38" i="1"/>
  <c r="X40" i="1"/>
  <c r="X42" i="1"/>
  <c r="X49" i="1"/>
  <c r="X104" i="1"/>
  <c r="X33" i="1" l="1"/>
  <c r="X25" i="1"/>
  <c r="X27" i="1" s="1"/>
  <c r="X108" i="1"/>
  <c r="X124" i="1"/>
  <c r="X122" i="1" s="1"/>
  <c r="T6" i="11" s="1"/>
  <c r="T10" i="11"/>
  <c r="X100" i="1"/>
  <c r="X95" i="1"/>
  <c r="X107" i="1" s="1"/>
  <c r="X96" i="1"/>
  <c r="X80" i="1"/>
  <c r="X79" i="1"/>
  <c r="T8" i="11" l="1"/>
  <c r="T15" i="11" s="1"/>
  <c r="Z42" i="1"/>
  <c r="Z40" i="1"/>
  <c r="Z38" i="1"/>
  <c r="H190" i="1" l="1"/>
  <c r="H189" i="1"/>
  <c r="H188" i="1"/>
  <c r="G187" i="1"/>
  <c r="G186" i="1"/>
  <c r="G185" i="1"/>
  <c r="F184" i="1"/>
  <c r="F183" i="1"/>
  <c r="F182" i="1"/>
  <c r="E181" i="1"/>
  <c r="E180" i="1"/>
  <c r="E178" i="1"/>
  <c r="D181" i="1"/>
  <c r="D179" i="1"/>
  <c r="D178" i="1"/>
  <c r="E192" i="1" l="1"/>
  <c r="H192" i="1"/>
  <c r="D192" i="1"/>
  <c r="G192" i="1"/>
  <c r="F192" i="1"/>
  <c r="F196" i="1" l="1"/>
  <c r="D196" i="1"/>
  <c r="C200" i="1"/>
  <c r="G200" i="1"/>
  <c r="G196" i="1"/>
  <c r="C204" i="1"/>
  <c r="F200" i="1"/>
  <c r="H196" i="1"/>
  <c r="H200" i="1"/>
  <c r="E200" i="1"/>
  <c r="D200" i="1"/>
  <c r="D204" i="1"/>
  <c r="E196" i="1"/>
  <c r="E204" i="1"/>
  <c r="C196" i="1"/>
  <c r="W104" i="1" l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H124" i="1" l="1"/>
  <c r="H122" i="1" s="1"/>
  <c r="D6" i="11" s="1"/>
  <c r="D10" i="11"/>
  <c r="J100" i="1"/>
  <c r="F10" i="11"/>
  <c r="J124" i="1"/>
  <c r="J122" i="1" s="1"/>
  <c r="F6" i="11" s="1"/>
  <c r="L124" i="1"/>
  <c r="L122" i="1" s="1"/>
  <c r="H6" i="11" s="1"/>
  <c r="H10" i="11"/>
  <c r="J10" i="11"/>
  <c r="N124" i="1"/>
  <c r="N122" i="1" s="1"/>
  <c r="J6" i="11" s="1"/>
  <c r="P124" i="1"/>
  <c r="P122" i="1" s="1"/>
  <c r="L6" i="11" s="1"/>
  <c r="L10" i="11"/>
  <c r="N10" i="11"/>
  <c r="R124" i="1"/>
  <c r="R122" i="1" s="1"/>
  <c r="N6" i="11" s="1"/>
  <c r="T124" i="1"/>
  <c r="T122" i="1" s="1"/>
  <c r="P6" i="11" s="1"/>
  <c r="P10" i="11"/>
  <c r="R10" i="11"/>
  <c r="V124" i="1"/>
  <c r="V122" i="1" s="1"/>
  <c r="R6" i="11" s="1"/>
  <c r="G124" i="1"/>
  <c r="C10" i="11"/>
  <c r="E10" i="11"/>
  <c r="I124" i="1"/>
  <c r="I122" i="1" s="1"/>
  <c r="E6" i="11" s="1"/>
  <c r="K124" i="1"/>
  <c r="K122" i="1" s="1"/>
  <c r="G6" i="11" s="1"/>
  <c r="G10" i="11"/>
  <c r="I10" i="11"/>
  <c r="M124" i="1"/>
  <c r="M122" i="1" s="1"/>
  <c r="I6" i="11" s="1"/>
  <c r="O124" i="1"/>
  <c r="O122" i="1" s="1"/>
  <c r="K6" i="11" s="1"/>
  <c r="K10" i="11"/>
  <c r="M10" i="11"/>
  <c r="Q124" i="1"/>
  <c r="Q122" i="1" s="1"/>
  <c r="M6" i="11" s="1"/>
  <c r="S124" i="1"/>
  <c r="S122" i="1" s="1"/>
  <c r="O6" i="11" s="1"/>
  <c r="O10" i="11"/>
  <c r="Q10" i="11"/>
  <c r="U124" i="1"/>
  <c r="U122" i="1" s="1"/>
  <c r="Q6" i="11" s="1"/>
  <c r="W124" i="1"/>
  <c r="W122" i="1" s="1"/>
  <c r="S6" i="11" s="1"/>
  <c r="S10" i="11"/>
  <c r="K95" i="1"/>
  <c r="K100" i="1"/>
  <c r="K96" i="1"/>
  <c r="W95" i="1"/>
  <c r="W100" i="1"/>
  <c r="W96" i="1"/>
  <c r="H95" i="1"/>
  <c r="H96" i="1"/>
  <c r="L100" i="1"/>
  <c r="L95" i="1"/>
  <c r="L96" i="1"/>
  <c r="N100" i="1"/>
  <c r="N95" i="1"/>
  <c r="P100" i="1"/>
  <c r="P95" i="1"/>
  <c r="P96" i="1"/>
  <c r="R95" i="1"/>
  <c r="R100" i="1"/>
  <c r="R96" i="1"/>
  <c r="T100" i="1"/>
  <c r="T95" i="1"/>
  <c r="T96" i="1"/>
  <c r="V95" i="1"/>
  <c r="V100" i="1"/>
  <c r="V96" i="1"/>
  <c r="I95" i="1"/>
  <c r="I96" i="1"/>
  <c r="M100" i="1"/>
  <c r="M95" i="1"/>
  <c r="M96" i="1"/>
  <c r="O95" i="1"/>
  <c r="O100" i="1"/>
  <c r="O96" i="1"/>
  <c r="Q95" i="1"/>
  <c r="Q100" i="1"/>
  <c r="Q96" i="1"/>
  <c r="S95" i="1"/>
  <c r="S100" i="1"/>
  <c r="S96" i="1"/>
  <c r="U100" i="1"/>
  <c r="U95" i="1"/>
  <c r="U96" i="1"/>
  <c r="J96" i="1"/>
  <c r="J95" i="1"/>
  <c r="G128" i="1"/>
  <c r="F128" i="1"/>
  <c r="E128" i="1"/>
  <c r="D128" i="1"/>
  <c r="T30" i="1"/>
  <c r="P30" i="1"/>
  <c r="L30" i="1"/>
  <c r="H30" i="1"/>
  <c r="W29" i="1"/>
  <c r="V29" i="1"/>
  <c r="U29" i="1"/>
  <c r="T29" i="1"/>
  <c r="S29" i="1"/>
  <c r="R29" i="1"/>
  <c r="Q29" i="1"/>
  <c r="P29" i="1"/>
  <c r="M29" i="1"/>
  <c r="L29" i="1"/>
  <c r="K29" i="1"/>
  <c r="J29" i="1"/>
  <c r="I29" i="1"/>
  <c r="H29" i="1"/>
  <c r="G122" i="1" l="1"/>
  <c r="C6" i="11" s="1"/>
  <c r="C8" i="11" s="1"/>
  <c r="C15" i="11" s="1"/>
  <c r="S8" i="11"/>
  <c r="S15" i="11" s="1"/>
  <c r="O8" i="11"/>
  <c r="O15" i="11" s="1"/>
  <c r="K8" i="11"/>
  <c r="K15" i="11" s="1"/>
  <c r="G8" i="11"/>
  <c r="G15" i="11" s="1"/>
  <c r="P8" i="11"/>
  <c r="P15" i="11" s="1"/>
  <c r="L8" i="11"/>
  <c r="L15" i="11" s="1"/>
  <c r="H8" i="11"/>
  <c r="H15" i="11" s="1"/>
  <c r="Q8" i="11"/>
  <c r="Q15" i="11" s="1"/>
  <c r="M8" i="11"/>
  <c r="M15" i="11" s="1"/>
  <c r="I8" i="11"/>
  <c r="I15" i="11" s="1"/>
  <c r="E8" i="11"/>
  <c r="E15" i="11" s="1"/>
  <c r="R8" i="11"/>
  <c r="R15" i="11" s="1"/>
  <c r="N8" i="11"/>
  <c r="N15" i="11" s="1"/>
  <c r="F8" i="11"/>
  <c r="F15" i="11" s="1"/>
  <c r="D8" i="11"/>
  <c r="D15" i="11" s="1"/>
  <c r="H33" i="1"/>
  <c r="L33" i="1"/>
  <c r="P33" i="1"/>
  <c r="T33" i="1"/>
  <c r="I128" i="1"/>
  <c r="H128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T42" i="1"/>
  <c r="G158" i="1" s="1"/>
  <c r="P42" i="1"/>
  <c r="F158" i="1" s="1"/>
  <c r="E158" i="1"/>
  <c r="T40" i="1"/>
  <c r="P40" i="1"/>
  <c r="L40" i="1"/>
  <c r="T38" i="1"/>
  <c r="P38" i="1"/>
  <c r="L38" i="1"/>
  <c r="W21" i="1"/>
  <c r="V21" i="1"/>
  <c r="U21" i="1"/>
  <c r="T21" i="1"/>
  <c r="S21" i="1"/>
  <c r="R21" i="1"/>
  <c r="Q21" i="1"/>
  <c r="P21" i="1"/>
  <c r="O21" i="1"/>
  <c r="M21" i="1"/>
  <c r="L21" i="1"/>
  <c r="K21" i="1"/>
  <c r="J21" i="1"/>
  <c r="I21" i="1"/>
  <c r="W18" i="1"/>
  <c r="W108" i="1" s="1"/>
  <c r="V18" i="1"/>
  <c r="V108" i="1" s="1"/>
  <c r="U18" i="1"/>
  <c r="U108" i="1" s="1"/>
  <c r="T18" i="1"/>
  <c r="T108" i="1" s="1"/>
  <c r="S18" i="1"/>
  <c r="S108" i="1" s="1"/>
  <c r="R18" i="1"/>
  <c r="R108" i="1" s="1"/>
  <c r="Q18" i="1"/>
  <c r="Q108" i="1" s="1"/>
  <c r="P18" i="1"/>
  <c r="P108" i="1" s="1"/>
  <c r="O18" i="1"/>
  <c r="O108" i="1" s="1"/>
  <c r="N18" i="1"/>
  <c r="M18" i="1"/>
  <c r="M108" i="1" s="1"/>
  <c r="L18" i="1"/>
  <c r="L108" i="1" s="1"/>
  <c r="K18" i="1"/>
  <c r="K108" i="1" s="1"/>
  <c r="J18" i="1"/>
  <c r="J108" i="1" s="1"/>
  <c r="I18" i="1"/>
  <c r="I108" i="1" s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W107" i="1" l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F129" i="1"/>
  <c r="G129" i="1"/>
  <c r="D129" i="1"/>
  <c r="L25" i="1"/>
  <c r="L27" i="1" s="1"/>
  <c r="L80" i="1"/>
  <c r="L79" i="1"/>
  <c r="I25" i="1"/>
  <c r="I27" i="1" s="1"/>
  <c r="I79" i="1"/>
  <c r="I80" i="1"/>
  <c r="M25" i="1"/>
  <c r="M27" i="1" s="1"/>
  <c r="M79" i="1"/>
  <c r="M80" i="1"/>
  <c r="Q25" i="1"/>
  <c r="Q27" i="1" s="1"/>
  <c r="Q79" i="1"/>
  <c r="Q80" i="1"/>
  <c r="U25" i="1"/>
  <c r="U27" i="1" s="1"/>
  <c r="U79" i="1"/>
  <c r="U80" i="1"/>
  <c r="E148" i="1"/>
  <c r="Q30" i="1"/>
  <c r="Q33" i="1" s="1"/>
  <c r="T25" i="1"/>
  <c r="T27" i="1" s="1"/>
  <c r="T80" i="1"/>
  <c r="T79" i="1"/>
  <c r="J25" i="1"/>
  <c r="J27" i="1" s="1"/>
  <c r="J79" i="1"/>
  <c r="J80" i="1"/>
  <c r="N79" i="1"/>
  <c r="R25" i="1"/>
  <c r="R27" i="1" s="1"/>
  <c r="R79" i="1"/>
  <c r="R80" i="1"/>
  <c r="V25" i="1"/>
  <c r="V27" i="1" s="1"/>
  <c r="V80" i="1"/>
  <c r="V79" i="1"/>
  <c r="F148" i="1"/>
  <c r="M30" i="1"/>
  <c r="M33" i="1" s="1"/>
  <c r="P25" i="1"/>
  <c r="P27" i="1" s="1"/>
  <c r="P80" i="1"/>
  <c r="P79" i="1"/>
  <c r="U30" i="1"/>
  <c r="U33" i="1" s="1"/>
  <c r="K25" i="1"/>
  <c r="K27" i="1" s="1"/>
  <c r="K80" i="1"/>
  <c r="K79" i="1"/>
  <c r="O25" i="1"/>
  <c r="O27" i="1" s="1"/>
  <c r="O79" i="1"/>
  <c r="O80" i="1"/>
  <c r="S25" i="1"/>
  <c r="S27" i="1" s="1"/>
  <c r="S80" i="1"/>
  <c r="S79" i="1"/>
  <c r="W25" i="1"/>
  <c r="W27" i="1" s="1"/>
  <c r="W79" i="1"/>
  <c r="W80" i="1"/>
  <c r="G148" i="1"/>
  <c r="I30" i="1"/>
  <c r="I33" i="1" s="1"/>
  <c r="F138" i="1"/>
  <c r="E138" i="1"/>
  <c r="G138" i="1"/>
  <c r="J128" i="1"/>
  <c r="I42" i="1"/>
  <c r="D159" i="1" s="1"/>
  <c r="J40" i="1"/>
  <c r="Q42" i="1"/>
  <c r="F159" i="1" s="1"/>
  <c r="I38" i="1"/>
  <c r="M38" i="1"/>
  <c r="E129" i="1"/>
  <c r="Q38" i="1"/>
  <c r="U42" i="1"/>
  <c r="G159" i="1" s="1"/>
  <c r="U40" i="1"/>
  <c r="U38" i="1"/>
  <c r="R40" i="1"/>
  <c r="Q40" i="1"/>
  <c r="M42" i="1"/>
  <c r="E159" i="1" s="1"/>
  <c r="N40" i="1"/>
  <c r="M40" i="1"/>
  <c r="H38" i="1"/>
  <c r="H49" i="1"/>
  <c r="H42" i="1"/>
  <c r="D158" i="1" s="1"/>
  <c r="H40" i="1"/>
  <c r="G49" i="1"/>
  <c r="H108" i="1" l="1"/>
  <c r="H107" i="1"/>
  <c r="X106" i="1"/>
  <c r="W106" i="1"/>
  <c r="X109" i="1"/>
  <c r="W109" i="1"/>
  <c r="V81" i="1"/>
  <c r="T106" i="1"/>
  <c r="S106" i="1"/>
  <c r="V106" i="1"/>
  <c r="U106" i="1"/>
  <c r="R81" i="1"/>
  <c r="P106" i="1"/>
  <c r="Q106" i="1"/>
  <c r="O106" i="1"/>
  <c r="R106" i="1"/>
  <c r="P109" i="1"/>
  <c r="O109" i="1"/>
  <c r="Q109" i="1"/>
  <c r="R109" i="1"/>
  <c r="L106" i="1"/>
  <c r="K106" i="1"/>
  <c r="N106" i="1"/>
  <c r="M106" i="1"/>
  <c r="E130" i="1"/>
  <c r="E131" i="1"/>
  <c r="X66" i="1"/>
  <c r="G130" i="1"/>
  <c r="G133" i="1" s="1"/>
  <c r="X72" i="1"/>
  <c r="X81" i="1"/>
  <c r="E150" i="1"/>
  <c r="L81" i="1"/>
  <c r="K81" i="1"/>
  <c r="M81" i="1"/>
  <c r="D148" i="1"/>
  <c r="H148" i="1" s="1"/>
  <c r="G149" i="1"/>
  <c r="R66" i="1"/>
  <c r="V30" i="1"/>
  <c r="V33" i="1" s="1"/>
  <c r="N81" i="1"/>
  <c r="D149" i="1"/>
  <c r="T81" i="1"/>
  <c r="S81" i="1"/>
  <c r="U81" i="1"/>
  <c r="F149" i="1"/>
  <c r="R42" i="1"/>
  <c r="F160" i="1" s="1"/>
  <c r="D150" i="1"/>
  <c r="H159" i="1"/>
  <c r="I159" i="1"/>
  <c r="R72" i="1"/>
  <c r="W81" i="1"/>
  <c r="W72" i="1"/>
  <c r="P81" i="1"/>
  <c r="O81" i="1"/>
  <c r="P72" i="1"/>
  <c r="O72" i="1"/>
  <c r="Q81" i="1"/>
  <c r="Q72" i="1"/>
  <c r="N30" i="1"/>
  <c r="I158" i="1"/>
  <c r="H158" i="1"/>
  <c r="H80" i="1"/>
  <c r="H79" i="1"/>
  <c r="E149" i="1"/>
  <c r="F150" i="1"/>
  <c r="W38" i="1"/>
  <c r="W66" i="1"/>
  <c r="F139" i="1"/>
  <c r="E139" i="1"/>
  <c r="P66" i="1"/>
  <c r="G139" i="1"/>
  <c r="D139" i="1"/>
  <c r="O66" i="1"/>
  <c r="D138" i="1"/>
  <c r="Q66" i="1"/>
  <c r="N42" i="1"/>
  <c r="E160" i="1" s="1"/>
  <c r="V38" i="1"/>
  <c r="I129" i="1"/>
  <c r="H129" i="1"/>
  <c r="D130" i="1"/>
  <c r="J38" i="1"/>
  <c r="K40" i="1"/>
  <c r="J30" i="1"/>
  <c r="J33" i="1" s="1"/>
  <c r="F130" i="1"/>
  <c r="R30" i="1"/>
  <c r="R33" i="1" s="1"/>
  <c r="J42" i="1"/>
  <c r="D160" i="1" s="1"/>
  <c r="V42" i="1"/>
  <c r="G160" i="1" s="1"/>
  <c r="G163" i="1" s="1"/>
  <c r="V40" i="1"/>
  <c r="R38" i="1"/>
  <c r="S40" i="1"/>
  <c r="U82" i="1" s="1"/>
  <c r="O38" i="1"/>
  <c r="N38" i="1"/>
  <c r="O40" i="1"/>
  <c r="R82" i="1" s="1"/>
  <c r="W105" i="1" l="1"/>
  <c r="W112" i="1" s="1"/>
  <c r="X105" i="1"/>
  <c r="X112" i="1" s="1"/>
  <c r="V105" i="1"/>
  <c r="T105" i="1"/>
  <c r="U105" i="1"/>
  <c r="S105" i="1"/>
  <c r="T109" i="1"/>
  <c r="S109" i="1"/>
  <c r="V109" i="1"/>
  <c r="U109" i="1"/>
  <c r="R97" i="1"/>
  <c r="R105" i="1"/>
  <c r="R111" i="1" s="1"/>
  <c r="Q105" i="1"/>
  <c r="Q111" i="1" s="1"/>
  <c r="P105" i="1"/>
  <c r="P112" i="1" s="1"/>
  <c r="O105" i="1"/>
  <c r="O112" i="1" s="1"/>
  <c r="N97" i="1"/>
  <c r="L105" i="1"/>
  <c r="K105" i="1"/>
  <c r="M105" i="1"/>
  <c r="L109" i="1"/>
  <c r="M109" i="1"/>
  <c r="K109" i="1"/>
  <c r="N109" i="1"/>
  <c r="O42" i="1"/>
  <c r="E161" i="1" s="1"/>
  <c r="E163" i="1" s="1"/>
  <c r="W87" i="1"/>
  <c r="E133" i="1"/>
  <c r="P87" i="1"/>
  <c r="X97" i="1"/>
  <c r="W97" i="1"/>
  <c r="R87" i="1"/>
  <c r="T97" i="1"/>
  <c r="U97" i="1"/>
  <c r="N74" i="1"/>
  <c r="L97" i="1"/>
  <c r="M97" i="1"/>
  <c r="P97" i="1"/>
  <c r="Q97" i="1"/>
  <c r="V97" i="1"/>
  <c r="O87" i="1"/>
  <c r="U72" i="1"/>
  <c r="X87" i="1"/>
  <c r="Q87" i="1"/>
  <c r="K72" i="1"/>
  <c r="H149" i="1"/>
  <c r="X74" i="1"/>
  <c r="X73" i="1"/>
  <c r="X75" i="1"/>
  <c r="X67" i="1"/>
  <c r="X68" i="1"/>
  <c r="Q82" i="1"/>
  <c r="I148" i="1"/>
  <c r="J148" i="1" s="1"/>
  <c r="S72" i="1"/>
  <c r="L72" i="1"/>
  <c r="N72" i="1"/>
  <c r="S30" i="1"/>
  <c r="S33" i="1" s="1"/>
  <c r="S73" i="1"/>
  <c r="T75" i="1"/>
  <c r="S74" i="1"/>
  <c r="T73" i="1"/>
  <c r="S75" i="1"/>
  <c r="T74" i="1"/>
  <c r="U73" i="1"/>
  <c r="U75" i="1"/>
  <c r="U74" i="1"/>
  <c r="O30" i="1"/>
  <c r="O73" i="1"/>
  <c r="P75" i="1"/>
  <c r="O75" i="1"/>
  <c r="P74" i="1"/>
  <c r="O74" i="1"/>
  <c r="P73" i="1"/>
  <c r="Q73" i="1"/>
  <c r="Q74" i="1"/>
  <c r="Q75" i="1"/>
  <c r="V73" i="1"/>
  <c r="G150" i="1"/>
  <c r="I150" i="1" s="1"/>
  <c r="V82" i="1"/>
  <c r="V83" i="1" s="1"/>
  <c r="W30" i="1"/>
  <c r="W33" i="1" s="1"/>
  <c r="W73" i="1"/>
  <c r="W75" i="1"/>
  <c r="W74" i="1"/>
  <c r="J159" i="1"/>
  <c r="R73" i="1"/>
  <c r="T72" i="1"/>
  <c r="V74" i="1"/>
  <c r="D151" i="1"/>
  <c r="D153" i="1" s="1"/>
  <c r="K82" i="1"/>
  <c r="L82" i="1"/>
  <c r="I149" i="1"/>
  <c r="V72" i="1"/>
  <c r="R74" i="1"/>
  <c r="M72" i="1"/>
  <c r="K30" i="1"/>
  <c r="K33" i="1" s="1"/>
  <c r="K73" i="1"/>
  <c r="L75" i="1"/>
  <c r="L73" i="1"/>
  <c r="K75" i="1"/>
  <c r="L74" i="1"/>
  <c r="K74" i="1"/>
  <c r="M75" i="1"/>
  <c r="M74" i="1"/>
  <c r="M73" i="1"/>
  <c r="N73" i="1"/>
  <c r="E151" i="1"/>
  <c r="E153" i="1" s="1"/>
  <c r="O82" i="1"/>
  <c r="P82" i="1"/>
  <c r="F151" i="1"/>
  <c r="F153" i="1" s="1"/>
  <c r="S82" i="1"/>
  <c r="T82" i="1"/>
  <c r="H160" i="1"/>
  <c r="I160" i="1"/>
  <c r="M82" i="1"/>
  <c r="J158" i="1"/>
  <c r="V75" i="1"/>
  <c r="N82" i="1"/>
  <c r="E140" i="1"/>
  <c r="Q68" i="1"/>
  <c r="O67" i="1"/>
  <c r="E141" i="1"/>
  <c r="O68" i="1"/>
  <c r="P67" i="1"/>
  <c r="P68" i="1"/>
  <c r="F131" i="1"/>
  <c r="F133" i="1" s="1"/>
  <c r="S66" i="1"/>
  <c r="T66" i="1"/>
  <c r="U66" i="1"/>
  <c r="V66" i="1"/>
  <c r="G140" i="1"/>
  <c r="G143" i="1" s="1"/>
  <c r="W68" i="1"/>
  <c r="H139" i="1"/>
  <c r="I139" i="1"/>
  <c r="Q67" i="1"/>
  <c r="M66" i="1"/>
  <c r="L66" i="1"/>
  <c r="N66" i="1"/>
  <c r="W67" i="1"/>
  <c r="R67" i="1"/>
  <c r="F140" i="1"/>
  <c r="R68" i="1"/>
  <c r="D140" i="1"/>
  <c r="I138" i="1"/>
  <c r="H138" i="1"/>
  <c r="I130" i="1"/>
  <c r="J129" i="1"/>
  <c r="K42" i="1"/>
  <c r="D161" i="1" s="1"/>
  <c r="S42" i="1"/>
  <c r="F161" i="1" s="1"/>
  <c r="F163" i="1" s="1"/>
  <c r="S38" i="1"/>
  <c r="V67" i="1" s="1"/>
  <c r="K38" i="1"/>
  <c r="N67" i="1" s="1"/>
  <c r="D131" i="1"/>
  <c r="H130" i="1"/>
  <c r="W40" i="1"/>
  <c r="X82" i="1" s="1"/>
  <c r="W42" i="1"/>
  <c r="R112" i="1" l="1"/>
  <c r="O111" i="1"/>
  <c r="G108" i="1"/>
  <c r="W111" i="1"/>
  <c r="X111" i="1"/>
  <c r="U112" i="1"/>
  <c r="U111" i="1"/>
  <c r="S112" i="1"/>
  <c r="S111" i="1"/>
  <c r="V112" i="1"/>
  <c r="V111" i="1"/>
  <c r="T112" i="1"/>
  <c r="T111" i="1"/>
  <c r="P111" i="1"/>
  <c r="Q112" i="1"/>
  <c r="K112" i="1"/>
  <c r="K111" i="1"/>
  <c r="M112" i="1"/>
  <c r="M111" i="1"/>
  <c r="L112" i="1"/>
  <c r="L111" i="1"/>
  <c r="R98" i="1"/>
  <c r="S98" i="1" s="1"/>
  <c r="T98" i="1" s="1"/>
  <c r="U98" i="1" s="1"/>
  <c r="O97" i="1"/>
  <c r="K88" i="1"/>
  <c r="Q88" i="1"/>
  <c r="Q89" i="1" s="1"/>
  <c r="X88" i="1"/>
  <c r="X89" i="1" s="1"/>
  <c r="N98" i="1"/>
  <c r="O98" i="1" s="1"/>
  <c r="P98" i="1" s="1"/>
  <c r="Q98" i="1" s="1"/>
  <c r="V98" i="1"/>
  <c r="W98" i="1" s="1"/>
  <c r="X98" i="1" s="1"/>
  <c r="S97" i="1"/>
  <c r="T87" i="1"/>
  <c r="M87" i="1"/>
  <c r="J149" i="1"/>
  <c r="M88" i="1"/>
  <c r="W88" i="1"/>
  <c r="W89" i="1" s="1"/>
  <c r="T88" i="1"/>
  <c r="K87" i="1"/>
  <c r="V88" i="1"/>
  <c r="L88" i="1"/>
  <c r="O88" i="1"/>
  <c r="O89" i="1" s="1"/>
  <c r="S88" i="1"/>
  <c r="L87" i="1"/>
  <c r="V87" i="1"/>
  <c r="U87" i="1"/>
  <c r="P88" i="1"/>
  <c r="P89" i="1" s="1"/>
  <c r="U88" i="1"/>
  <c r="S87" i="1"/>
  <c r="N87" i="1"/>
  <c r="J160" i="1"/>
  <c r="I151" i="1"/>
  <c r="H151" i="1"/>
  <c r="G80" i="1"/>
  <c r="G79" i="1"/>
  <c r="I161" i="1"/>
  <c r="H161" i="1"/>
  <c r="D163" i="1"/>
  <c r="H163" i="1" s="1"/>
  <c r="W82" i="1"/>
  <c r="H150" i="1"/>
  <c r="G153" i="1"/>
  <c r="H153" i="1" s="1"/>
  <c r="E143" i="1"/>
  <c r="N68" i="1"/>
  <c r="K67" i="1"/>
  <c r="K68" i="1"/>
  <c r="D141" i="1"/>
  <c r="L67" i="1"/>
  <c r="L68" i="1"/>
  <c r="M67" i="1"/>
  <c r="M68" i="1"/>
  <c r="J138" i="1"/>
  <c r="H140" i="1"/>
  <c r="I140" i="1"/>
  <c r="S67" i="1"/>
  <c r="F141" i="1"/>
  <c r="F143" i="1" s="1"/>
  <c r="S68" i="1"/>
  <c r="T67" i="1"/>
  <c r="T68" i="1"/>
  <c r="U67" i="1"/>
  <c r="U68" i="1"/>
  <c r="K66" i="1"/>
  <c r="J139" i="1"/>
  <c r="V68" i="1"/>
  <c r="J130" i="1"/>
  <c r="H131" i="1"/>
  <c r="H134" i="1" s="1"/>
  <c r="I131" i="1"/>
  <c r="D133" i="1"/>
  <c r="H133" i="1" s="1"/>
  <c r="T89" i="1" l="1"/>
  <c r="L89" i="1"/>
  <c r="K89" i="1"/>
  <c r="M89" i="1"/>
  <c r="H154" i="1"/>
  <c r="U89" i="1"/>
  <c r="V89" i="1"/>
  <c r="J151" i="1"/>
  <c r="S89" i="1"/>
  <c r="J161" i="1"/>
  <c r="J163" i="1" s="1"/>
  <c r="H164" i="1"/>
  <c r="J150" i="1"/>
  <c r="I141" i="1"/>
  <c r="H141" i="1"/>
  <c r="J140" i="1"/>
  <c r="D143" i="1"/>
  <c r="H143" i="1" s="1"/>
  <c r="J131" i="1"/>
  <c r="J153" i="1" l="1"/>
  <c r="K149" i="1" s="1"/>
  <c r="E40" i="1" s="1"/>
  <c r="K151" i="1"/>
  <c r="G40" i="1" s="1"/>
  <c r="J82" i="1" s="1"/>
  <c r="J141" i="1"/>
  <c r="J143" i="1" s="1"/>
  <c r="K141" i="1" s="1"/>
  <c r="G38" i="1" s="1"/>
  <c r="J67" i="1" s="1"/>
  <c r="K161" i="1"/>
  <c r="G42" i="1" s="1"/>
  <c r="K159" i="1"/>
  <c r="E42" i="1" s="1"/>
  <c r="K158" i="1"/>
  <c r="K160" i="1"/>
  <c r="F42" i="1" s="1"/>
  <c r="H144" i="1"/>
  <c r="J133" i="1"/>
  <c r="K148" i="1" l="1"/>
  <c r="D40" i="1" s="1"/>
  <c r="K150" i="1"/>
  <c r="F40" i="1" s="1"/>
  <c r="I82" i="1" s="1"/>
  <c r="D42" i="1"/>
  <c r="AA42" i="1" s="1"/>
  <c r="K163" i="1"/>
  <c r="J68" i="1"/>
  <c r="K140" i="1"/>
  <c r="F38" i="1" s="1"/>
  <c r="I67" i="1" s="1"/>
  <c r="K139" i="1"/>
  <c r="E38" i="1" s="1"/>
  <c r="K138" i="1"/>
  <c r="D38" i="1" s="1"/>
  <c r="K128" i="1"/>
  <c r="K130" i="1"/>
  <c r="K129" i="1"/>
  <c r="K131" i="1"/>
  <c r="G37" i="1" s="1"/>
  <c r="H82" i="1" l="1"/>
  <c r="G82" i="1"/>
  <c r="K153" i="1"/>
  <c r="J109" i="1"/>
  <c r="J87" i="1"/>
  <c r="I68" i="1"/>
  <c r="H67" i="1"/>
  <c r="AA38" i="1"/>
  <c r="K143" i="1"/>
  <c r="H68" i="1"/>
  <c r="G68" i="1"/>
  <c r="J66" i="1"/>
  <c r="E37" i="1"/>
  <c r="E39" i="1" s="1"/>
  <c r="E41" i="1" s="1"/>
  <c r="F37" i="1"/>
  <c r="I109" i="1" s="1"/>
  <c r="G39" i="1"/>
  <c r="D37" i="1"/>
  <c r="G67" i="1"/>
  <c r="K133" i="1"/>
  <c r="G109" i="1" l="1"/>
  <c r="J106" i="1"/>
  <c r="H109" i="1"/>
  <c r="H87" i="1"/>
  <c r="I87" i="1"/>
  <c r="G87" i="1"/>
  <c r="G41" i="1"/>
  <c r="G43" i="1" s="1"/>
  <c r="J81" i="1"/>
  <c r="J72" i="1"/>
  <c r="AA37" i="1"/>
  <c r="D39" i="1"/>
  <c r="D41" i="1" s="1"/>
  <c r="H66" i="1"/>
  <c r="I66" i="1"/>
  <c r="G66" i="1"/>
  <c r="F39" i="1"/>
  <c r="H81" i="1" s="1"/>
  <c r="H106" i="1" l="1"/>
  <c r="G106" i="1"/>
  <c r="I106" i="1"/>
  <c r="J105" i="1"/>
  <c r="J73" i="1"/>
  <c r="J74" i="1"/>
  <c r="J75" i="1"/>
  <c r="I72" i="1"/>
  <c r="H72" i="1"/>
  <c r="I81" i="1"/>
  <c r="G81" i="1"/>
  <c r="F41" i="1"/>
  <c r="F43" i="1" s="1"/>
  <c r="I105" i="1" s="1"/>
  <c r="AA39" i="1"/>
  <c r="G72" i="1"/>
  <c r="D43" i="1"/>
  <c r="AA40" i="1"/>
  <c r="E43" i="1"/>
  <c r="AA41" i="1" l="1"/>
  <c r="I112" i="1"/>
  <c r="I111" i="1"/>
  <c r="J112" i="1"/>
  <c r="J111" i="1"/>
  <c r="H105" i="1"/>
  <c r="G105" i="1"/>
  <c r="G111" i="1" s="1"/>
  <c r="J98" i="1"/>
  <c r="K98" i="1" s="1"/>
  <c r="L98" i="1" s="1"/>
  <c r="M98" i="1" s="1"/>
  <c r="J88" i="1"/>
  <c r="J89" i="1" s="1"/>
  <c r="H75" i="1"/>
  <c r="G74" i="1"/>
  <c r="I74" i="1"/>
  <c r="G73" i="1"/>
  <c r="H73" i="1"/>
  <c r="H74" i="1"/>
  <c r="I75" i="1"/>
  <c r="G75" i="1"/>
  <c r="I73" i="1"/>
  <c r="AA43" i="1"/>
  <c r="I88" i="1" l="1"/>
  <c r="I89" i="1" s="1"/>
  <c r="G112" i="1"/>
  <c r="H112" i="1"/>
  <c r="H111" i="1"/>
  <c r="G88" i="1"/>
  <c r="G89" i="1" s="1"/>
  <c r="H88" i="1"/>
  <c r="H89" i="1" s="1"/>
  <c r="N108" i="1" l="1"/>
  <c r="O29" i="1"/>
  <c r="O33" i="1" s="1"/>
  <c r="N29" i="1"/>
  <c r="N33" i="1" s="1"/>
  <c r="N25" i="1"/>
  <c r="N27" i="1" s="1"/>
  <c r="N21" i="1" l="1"/>
  <c r="N93" i="1"/>
  <c r="N75" i="1"/>
  <c r="N88" i="1" s="1"/>
  <c r="N89" i="1" s="1"/>
  <c r="N80" i="1"/>
  <c r="R75" i="1"/>
  <c r="R88" i="1" s="1"/>
  <c r="R89" i="1" s="1"/>
  <c r="N105" i="1"/>
  <c r="N112" i="1" l="1"/>
  <c r="N111" i="1"/>
  <c r="N96" i="1"/>
  <c r="J3" i="11"/>
  <c r="J8" i="11" l="1"/>
  <c r="J15" i="11" s="1"/>
  <c r="J14" i="11"/>
</calcChain>
</file>

<file path=xl/sharedStrings.xml><?xml version="1.0" encoding="utf-8"?>
<sst xmlns="http://schemas.openxmlformats.org/spreadsheetml/2006/main" count="326" uniqueCount="170">
  <si>
    <t>Zysk (strata) brutto</t>
  </si>
  <si>
    <t>Zysk (strata) netto</t>
  </si>
  <si>
    <t>Przychody ze sprzedaży</t>
  </si>
  <si>
    <t>Środki pieniężne</t>
  </si>
  <si>
    <t>Aktywa trwałe</t>
  </si>
  <si>
    <t>Aktywa obrotowe</t>
  </si>
  <si>
    <t>Aktywa</t>
  </si>
  <si>
    <t>Kapitał zakładowy</t>
  </si>
  <si>
    <t>Zobowiązania długoterminowe</t>
  </si>
  <si>
    <t>Zobowiązania krótkoterminowe</t>
  </si>
  <si>
    <t>Bilans (sprawozdanie z sytuacji finansowej)</t>
  </si>
  <si>
    <t>Pozostałe aktywa obrotowe</t>
  </si>
  <si>
    <t>Pozostałe aktywa</t>
  </si>
  <si>
    <t>Zobowiązania</t>
  </si>
  <si>
    <t>Pozostałe kapitały</t>
  </si>
  <si>
    <t>Pozostałe pasywa</t>
  </si>
  <si>
    <t>Pasywa</t>
  </si>
  <si>
    <t>Koszty i przychody finansowe, udział w zyskach jednostek stowarzyszonych</t>
  </si>
  <si>
    <t>Koszt własny sprzedaży, pozostałe przychody i koszty operacyjne</t>
  </si>
  <si>
    <t>Podatek dochodowy i podatek odroczony</t>
  </si>
  <si>
    <t>Zysk operacyjny</t>
  </si>
  <si>
    <t>I 2009</t>
  </si>
  <si>
    <t>Pozostałe dane</t>
  </si>
  <si>
    <t>Wartość nominalna akcji</t>
  </si>
  <si>
    <t>Rachunek zysków i strat (sprawozdanie z zysków lub strat)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</si>
  <si>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</si>
  <si>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</si>
  <si>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</si>
  <si>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</si>
  <si>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</si>
  <si>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</si>
  <si>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</si>
  <si>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</si>
  <si>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</si>
  <si>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</si>
  <si>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</si>
  <si>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</si>
  <si>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</si>
  <si>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</si>
  <si>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</si>
  <si>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</si>
  <si>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Kapitał własny</t>
  </si>
  <si>
    <t>wzrost/spadek kapitału:</t>
  </si>
  <si>
    <t>zysk/strata</t>
  </si>
  <si>
    <t>wypłata dywidendy</t>
  </si>
  <si>
    <t>inne</t>
  </si>
  <si>
    <t>sezonowość przychodów</t>
  </si>
  <si>
    <t>I</t>
  </si>
  <si>
    <t>II</t>
  </si>
  <si>
    <t>III</t>
  </si>
  <si>
    <t>IV</t>
  </si>
  <si>
    <t>razem</t>
  </si>
  <si>
    <t>wskaźnik</t>
  </si>
  <si>
    <t>ilość</t>
  </si>
  <si>
    <t>średnia</t>
  </si>
  <si>
    <t>na ostatni dzień kwartału</t>
  </si>
  <si>
    <t>Ceny zamknięcia akcji</t>
  </si>
  <si>
    <t>Razem</t>
  </si>
  <si>
    <t>Wskaźniki płynności</t>
  </si>
  <si>
    <t>płynność III stopnia</t>
  </si>
  <si>
    <t>płynność I stopnia</t>
  </si>
  <si>
    <t>Wskaźniki obrotowości</t>
  </si>
  <si>
    <t>obrót aktywami krótkoterminowymi z wyjątkiem środków pieniężnych</t>
  </si>
  <si>
    <t>obrót zobowiązaniani krótkoterminowymi</t>
  </si>
  <si>
    <t>obrót kapitałem w obrocie</t>
  </si>
  <si>
    <t>Wskaźniki zadłużenia</t>
  </si>
  <si>
    <t>Dżwignie</t>
  </si>
  <si>
    <t>Dźwignia finansowa zmodyfikowana</t>
  </si>
  <si>
    <t>Dźwignia operacyjna zmodyfikowana</t>
  </si>
  <si>
    <t>stopa zadłużenia aktywów</t>
  </si>
  <si>
    <t>stopa zadłużenia kapitałów</t>
  </si>
  <si>
    <t>Dźwignia łączna zmodyfikowana</t>
  </si>
  <si>
    <t>Wskaźniki rynkowe</t>
  </si>
  <si>
    <t>Wartość księgowa na akcję</t>
  </si>
  <si>
    <t>Zysk na akcję</t>
  </si>
  <si>
    <t>Kapitalizacja (wartość rynkowa)</t>
  </si>
  <si>
    <t>Stopa wypłat dywidendy</t>
  </si>
  <si>
    <t>Cena do wartości księgowej</t>
  </si>
  <si>
    <t>Wskaźnik na skłonność do upadłości (Z-Score zmodyfikowany)</t>
  </si>
  <si>
    <t>Kapitał w obrocie/aktywa</t>
  </si>
  <si>
    <t>Zysk operacyjny/aktywa</t>
  </si>
  <si>
    <t>Kapitalizacja/zobowiązania</t>
  </si>
  <si>
    <t>Sprzedaż/aktywa</t>
  </si>
  <si>
    <t>Struktura ceny akcji</t>
  </si>
  <si>
    <t>Majątek pomniejszony o zobowiązania krótkoterminowe</t>
  </si>
  <si>
    <t>Dywidenda na akcję</t>
  </si>
  <si>
    <t>Wartość firmy</t>
  </si>
  <si>
    <t>Kurs akcji</t>
  </si>
  <si>
    <t>kapitał obrotowy na ostatni dzień kwartału</t>
  </si>
  <si>
    <t>Dni w okresie:</t>
  </si>
  <si>
    <t>styczeń</t>
  </si>
  <si>
    <t>luty</t>
  </si>
  <si>
    <t>luty przestępny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</si>
  <si>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</si>
  <si>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</si>
  <si>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</si>
  <si>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</si>
  <si>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</si>
  <si>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</si>
  <si>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</si>
  <si>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</si>
  <si>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</si>
  <si>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</si>
  <si>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Dni</t>
  </si>
  <si>
    <t>QI</t>
  </si>
  <si>
    <t>QII</t>
  </si>
  <si>
    <t>QIII</t>
  </si>
  <si>
    <t>QIV</t>
  </si>
  <si>
    <t>QI + QII</t>
  </si>
  <si>
    <t>QII + QIII</t>
  </si>
  <si>
    <t>QIII + QIV</t>
  </si>
  <si>
    <t>QIV + QI</t>
  </si>
  <si>
    <t>QI Prz +QII</t>
  </si>
  <si>
    <t>QIV + QI Prz</t>
  </si>
  <si>
    <t>QI + QII + QIII</t>
  </si>
  <si>
    <t>QI Prz + QII + QIII</t>
  </si>
  <si>
    <t>QII + QIII + QIV</t>
  </si>
  <si>
    <t>QIII + QIV + QI</t>
  </si>
  <si>
    <t>QIV +QI + QII</t>
  </si>
  <si>
    <t>QIV + QI Prz + QII</t>
  </si>
  <si>
    <t>QIII + QIV + QI Prz</t>
  </si>
  <si>
    <t>QI Prz</t>
  </si>
  <si>
    <t>QI + QII + QIII + QIV</t>
  </si>
  <si>
    <t>QI Prz + QII + QIII + QIV</t>
  </si>
  <si>
    <t>tys. zł</t>
  </si>
  <si>
    <t>miara</t>
  </si>
  <si>
    <t>mln sztuk</t>
  </si>
  <si>
    <t>Ilość akcji</t>
  </si>
  <si>
    <t>zł</t>
  </si>
  <si>
    <t>ile razy</t>
  </si>
  <si>
    <t>dni</t>
  </si>
  <si>
    <t>I 2008</t>
  </si>
  <si>
    <t>II 2008</t>
  </si>
  <si>
    <t>III 2008</t>
  </si>
  <si>
    <t>IV 2008</t>
  </si>
  <si>
    <t>spraw-dzenie</t>
  </si>
  <si>
    <t>sezonowość kosztu własnego sprzedaży + przychody i koszty operacyjne</t>
  </si>
  <si>
    <t>kapitał obrotowy średni w okresie</t>
  </si>
  <si>
    <t>Kapitał obcy długoterminowy</t>
  </si>
  <si>
    <t>Zyskowność operacyjna sprzedaży</t>
  </si>
  <si>
    <t>Zyskowność netto sprzedaży</t>
  </si>
  <si>
    <t>Zyskowność netto aktywów</t>
  </si>
  <si>
    <t>%</t>
  </si>
  <si>
    <t>Sezonowość koszty i przychody finansowe</t>
  </si>
  <si>
    <t>Sezonowość podatek dochodowy i odroczony</t>
  </si>
  <si>
    <t>zysk operacyjny za cztery kwartały</t>
  </si>
  <si>
    <t>PKFJS za cztery kwartały</t>
  </si>
  <si>
    <t>pokrycie przychodów i kosztów finansowych oraz dochodów uzyskanych od jedniostek wycenianych metodą praw własności zyskiem operacyjnym</t>
  </si>
  <si>
    <t>Zyskowność netto kapitału</t>
  </si>
  <si>
    <t>Wskaźniki zyskowności (rentowności)</t>
  </si>
  <si>
    <t>zł/akcja</t>
  </si>
  <si>
    <t>średnioroczna</t>
  </si>
  <si>
    <t>Cena do zysku</t>
  </si>
  <si>
    <t>Stopa dywidendy historyczna</t>
  </si>
  <si>
    <t>Stopa dywidendy bieżąca</t>
  </si>
  <si>
    <t>bd</t>
  </si>
  <si>
    <t>Kapitał własny - zysk netto/aktywa</t>
  </si>
  <si>
    <t>Wskaźnik Z-Score</t>
  </si>
  <si>
    <t>Wskaźnik Z-Score gdyby nie była spółką publiczną</t>
  </si>
  <si>
    <t>Kapitalizacja/zobowiązania gdyby nie była spółką publiczną</t>
  </si>
  <si>
    <t>Dywidenda</t>
  </si>
  <si>
    <t>Sprawdzenie</t>
  </si>
  <si>
    <t>Zysk (strata) netto akcjonariuszy jednostki dominującej</t>
  </si>
  <si>
    <t>Kapitał własny przypadający akcjonariuszom jednostki dominującej</t>
  </si>
  <si>
    <t>emisja akcji (wartość nominalna)</t>
  </si>
  <si>
    <t xml:space="preserve">Sezonowość zysk netto </t>
  </si>
  <si>
    <t>Wartość księgowa</t>
  </si>
  <si>
    <t>Kurs akcji (wartość rynkowa)</t>
  </si>
  <si>
    <t>OK</t>
  </si>
  <si>
    <t>Dane finansowe KGHM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</si>
</sst>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2" xfId="0" applyNumberFormat="1" applyBorder="1"/>
    <xf numFmtId="164" fontId="0" fillId="0" borderId="0" xfId="0" applyNumberFormat="1" applyBorder="1"/>
    <xf numFmtId="0" fontId="0" fillId="0" borderId="2" xfId="0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Border="1"/>
    <xf numFmtId="10" fontId="0" fillId="0" borderId="1" xfId="0" applyNumberFormat="1" applyBorder="1"/>
    <xf numFmtId="164" fontId="0" fillId="0" borderId="0" xfId="0" applyNumberFormat="1"/>
    <xf numFmtId="164" fontId="0" fillId="2" borderId="1" xfId="0" applyNumberFormat="1" applyFill="1" applyBorder="1"/>
    <xf numFmtId="10" fontId="0" fillId="0" borderId="0" xfId="0" applyNumberFormat="1"/>
    <xf numFmtId="4" fontId="0" fillId="0" borderId="1" xfId="0" applyNumberFormat="1" applyBorder="1"/>
    <xf numFmtId="165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165" fontId="0" fillId="0" borderId="0" xfId="0" applyNumberFormat="1"/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Fill="1" applyBorder="1"/>
    <xf numFmtId="0" fontId="1" fillId="0" borderId="0" xfId="0" applyFont="1" applyAlignment="1">
      <alignment horizontal="center" vertic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0" fillId="2" borderId="1" xfId="0" applyNumberFormat="1" applyFill="1" applyBorder="1"/>
    <xf numFmtId="165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0" fillId="0" borderId="1" xfId="0" applyNumberFormat="1" applyFont="1" applyBorder="1"/>
    <xf numFmtId="0" fontId="2" fillId="0" borderId="1" xfId="0" applyFont="1" applyBorder="1" applyAlignment="1">
      <alignment wrapText="1"/>
    </xf>
    <xf numFmtId="8" fontId="0" fillId="0" borderId="1" xfId="0" applyNumberFormat="1" applyBorder="1"/>
    <xf numFmtId="0" fontId="0" fillId="0" borderId="1" xfId="0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/>
    <xf numFmtId="0" fontId="2" fillId="2" borderId="1" xfId="0" applyFont="1" applyFill="1" applyBorder="1"/>
    <xf numFmtId="0" fontId="2" fillId="0" borderId="0" xfId="0" applyFont="1" applyFill="1"/>
    <xf numFmtId="164" fontId="2" fillId="2" borderId="1" xfId="0" applyNumberFormat="1" applyFont="1" applyFill="1" applyBorder="1"/>
    <xf numFmtId="165" fontId="0" fillId="0" borderId="1" xfId="0" applyNumberForma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KGHM</a:t>
            </a:r>
            <a:r>
              <a:rPr lang="pl-PL" b="1" baseline="0"/>
              <a:t> - kurs i wartość księgowa na akcję</a:t>
            </a:r>
            <a:endParaRPr lang="pl-PL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253958880139982"/>
          <c:y val="0.17171296296296298"/>
          <c:w val="0.72000853018372701"/>
          <c:h val="0.53783136482939631"/>
        </c:manualLayout>
      </c:layout>
      <c:area3DChart>
        <c:grouping val="standard"/>
        <c:varyColors val="0"/>
        <c:ser>
          <c:idx val="0"/>
          <c:order val="0"/>
          <c:tx>
            <c:strRef>
              <c:f>SCA!$B$13</c:f>
              <c:strCache>
                <c:ptCount val="1"/>
                <c:pt idx="0">
                  <c:v>Dywidenda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cat>
            <c:strRef>
              <c:f>SCA!$C$12:$T$12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SCA!$C$13:$T$13</c:f>
              <c:numCache>
                <c:formatCode>"zł"#,##0.00_);[Red]\("zł"#,##0.00\)</c:formatCode>
                <c:ptCount val="18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11.68</c:v>
                </c:pt>
                <c:pt idx="4">
                  <c:v>11.68</c:v>
                </c:pt>
                <c:pt idx="5">
                  <c:v>11.68</c:v>
                </c:pt>
                <c:pt idx="6">
                  <c:v>11.68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14.9</c:v>
                </c:pt>
                <c:pt idx="12">
                  <c:v>14.9</c:v>
                </c:pt>
                <c:pt idx="13">
                  <c:v>14.9</c:v>
                </c:pt>
                <c:pt idx="14">
                  <c:v>14.9</c:v>
                </c:pt>
                <c:pt idx="15">
                  <c:v>28.34</c:v>
                </c:pt>
                <c:pt idx="16">
                  <c:v>28.34</c:v>
                </c:pt>
                <c:pt idx="17">
                  <c:v>28.34</c:v>
                </c:pt>
              </c:numCache>
            </c:numRef>
          </c:val>
        </c:ser>
        <c:ser>
          <c:idx val="1"/>
          <c:order val="1"/>
          <c:tx>
            <c:strRef>
              <c:f>SCA!$B$14</c:f>
              <c:strCache>
                <c:ptCount val="1"/>
                <c:pt idx="0">
                  <c:v>Wartość księgowa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cat>
            <c:strRef>
              <c:f>SCA!$C$12:$T$12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SCA!$C$14:$T$14</c:f>
              <c:numCache>
                <c:formatCode>"zł"#,##0.00_);[Red]\("zł"#,##0.00\)</c:formatCode>
                <c:ptCount val="18"/>
                <c:pt idx="0">
                  <c:v>54.914324999999998</c:v>
                </c:pt>
                <c:pt idx="1">
                  <c:v>56.764964999999997</c:v>
                </c:pt>
                <c:pt idx="2">
                  <c:v>47.079000000000001</c:v>
                </c:pt>
                <c:pt idx="3">
                  <c:v>49.7273</c:v>
                </c:pt>
                <c:pt idx="4">
                  <c:v>53.012124999999997</c:v>
                </c:pt>
                <c:pt idx="5">
                  <c:v>56.872554999999998</c:v>
                </c:pt>
                <c:pt idx="6">
                  <c:v>62.847059999999999</c:v>
                </c:pt>
                <c:pt idx="7">
                  <c:v>68.04350500000001</c:v>
                </c:pt>
                <c:pt idx="8">
                  <c:v>74.61061500000001</c:v>
                </c:pt>
                <c:pt idx="9">
                  <c:v>84.777839999999998</c:v>
                </c:pt>
                <c:pt idx="10">
                  <c:v>82.140034999999997</c:v>
                </c:pt>
                <c:pt idx="11">
                  <c:v>99.97402000000001</c:v>
                </c:pt>
                <c:pt idx="12">
                  <c:v>116.91178500000001</c:v>
                </c:pt>
                <c:pt idx="13">
                  <c:v>120.62377499999999</c:v>
                </c:pt>
                <c:pt idx="14">
                  <c:v>103.12867</c:v>
                </c:pt>
                <c:pt idx="15">
                  <c:v>105.08939500000001</c:v>
                </c:pt>
                <c:pt idx="16">
                  <c:v>108.55</c:v>
                </c:pt>
                <c:pt idx="17">
                  <c:v>117.3</c:v>
                </c:pt>
              </c:numCache>
            </c:numRef>
          </c:val>
        </c:ser>
        <c:ser>
          <c:idx val="2"/>
          <c:order val="2"/>
          <c:tx>
            <c:strRef>
              <c:f>SCA!$B$15</c:f>
              <c:strCache>
                <c:ptCount val="1"/>
                <c:pt idx="0">
                  <c:v>Kurs akcji (wartość rynkowa)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cat>
            <c:strRef>
              <c:f>SCA!$C$12:$T$12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SCA!$C$15:$T$15</c:f>
              <c:numCache>
                <c:formatCode>"zł"#,##0.00_);[Red]\("zł"#,##0.00\)</c:formatCode>
                <c:ptCount val="18"/>
                <c:pt idx="0">
                  <c:v>28.120000000000005</c:v>
                </c:pt>
                <c:pt idx="1">
                  <c:v>45.689999999999984</c:v>
                </c:pt>
                <c:pt idx="2">
                  <c:v>81.5</c:v>
                </c:pt>
                <c:pt idx="3">
                  <c:v>86.4</c:v>
                </c:pt>
                <c:pt idx="4">
                  <c:v>105.99999999999999</c:v>
                </c:pt>
                <c:pt idx="5">
                  <c:v>106.9</c:v>
                </c:pt>
                <c:pt idx="6">
                  <c:v>88.6</c:v>
                </c:pt>
                <c:pt idx="7">
                  <c:v>117.30000000000001</c:v>
                </c:pt>
                <c:pt idx="8">
                  <c:v>173</c:v>
                </c:pt>
                <c:pt idx="9">
                  <c:v>180.2</c:v>
                </c:pt>
                <c:pt idx="10">
                  <c:v>197</c:v>
                </c:pt>
                <c:pt idx="11">
                  <c:v>131</c:v>
                </c:pt>
                <c:pt idx="12">
                  <c:v>110.60000000000002</c:v>
                </c:pt>
                <c:pt idx="13">
                  <c:v>143.09999999999997</c:v>
                </c:pt>
                <c:pt idx="14">
                  <c:v>145</c:v>
                </c:pt>
                <c:pt idx="15">
                  <c:v>152.5</c:v>
                </c:pt>
                <c:pt idx="16">
                  <c:v>190</c:v>
                </c:pt>
                <c:pt idx="17">
                  <c:v>157.80000000000001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729192"/>
        <c:axId val="271729584"/>
        <c:axId val="273165848"/>
      </c:area3DChart>
      <c:catAx>
        <c:axId val="271729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1729584"/>
        <c:crosses val="autoZero"/>
        <c:auto val="1"/>
        <c:lblAlgn val="ctr"/>
        <c:lblOffset val="100"/>
        <c:noMultiLvlLbl val="0"/>
      </c:catAx>
      <c:valAx>
        <c:axId val="27172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zł&quot;#,##0.00_);[Red]\(&quot;zł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1729192"/>
        <c:crosses val="autoZero"/>
        <c:crossBetween val="midCat"/>
      </c:valAx>
      <c:serAx>
        <c:axId val="273165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1729584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KGHM - struktura ceny akcji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SCA!$B$3</c:f>
              <c:strCache>
                <c:ptCount val="1"/>
                <c:pt idx="0">
                  <c:v>Kapitał własny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SCA!$C$3:$T$3</c:f>
              <c:numCache>
                <c:formatCode>"zł"#,##0.00_);[Red]\("zł"#,##0.00\)</c:formatCode>
                <c:ptCount val="18"/>
                <c:pt idx="0">
                  <c:v>54.914324999999998</c:v>
                </c:pt>
                <c:pt idx="1">
                  <c:v>56.764964999999997</c:v>
                </c:pt>
                <c:pt idx="2">
                  <c:v>47.079000000000001</c:v>
                </c:pt>
                <c:pt idx="3">
                  <c:v>49.7273</c:v>
                </c:pt>
                <c:pt idx="4">
                  <c:v>53.012124999999997</c:v>
                </c:pt>
                <c:pt idx="5">
                  <c:v>56.872554999999998</c:v>
                </c:pt>
                <c:pt idx="6">
                  <c:v>62.847059999999999</c:v>
                </c:pt>
                <c:pt idx="7">
                  <c:v>68.04350500000001</c:v>
                </c:pt>
                <c:pt idx="8">
                  <c:v>74.61061500000001</c:v>
                </c:pt>
                <c:pt idx="9">
                  <c:v>84.777839999999998</c:v>
                </c:pt>
                <c:pt idx="10">
                  <c:v>82.140034999999997</c:v>
                </c:pt>
                <c:pt idx="11">
                  <c:v>99.97402000000001</c:v>
                </c:pt>
                <c:pt idx="12">
                  <c:v>116.91178500000001</c:v>
                </c:pt>
                <c:pt idx="13">
                  <c:v>120.62377499999999</c:v>
                </c:pt>
                <c:pt idx="14" formatCode="#\ ##0.00_ ;[Red]\-#\ ##0.00\ ">
                  <c:v>103.12867</c:v>
                </c:pt>
                <c:pt idx="15" formatCode="#\ ##0.00_ ;[Red]\-#\ ##0.00\ ">
                  <c:v>105.08939500000001</c:v>
                </c:pt>
                <c:pt idx="16" formatCode="#\ ##0.00_ ;[Red]\-#\ ##0.00\ ">
                  <c:v>108.55</c:v>
                </c:pt>
                <c:pt idx="17" formatCode="#\ ##0.00_ ;[Red]\-#\ ##0.00\ ">
                  <c:v>117.3</c:v>
                </c:pt>
              </c:numCache>
            </c:numRef>
          </c:val>
        </c:ser>
        <c:ser>
          <c:idx val="1"/>
          <c:order val="1"/>
          <c:tx>
            <c:strRef>
              <c:f>SCA!$B$4</c:f>
              <c:strCache>
                <c:ptCount val="1"/>
                <c:pt idx="0">
                  <c:v>Kapitał obcy długoterminowy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SCA!$C$4:$T$4</c:f>
              <c:numCache>
                <c:formatCode>"zł"#,##0.00_);[Red]\("zł"#,##0.00\)</c:formatCode>
                <c:ptCount val="18"/>
                <c:pt idx="0">
                  <c:v>9.246319999999999</c:v>
                </c:pt>
                <c:pt idx="1">
                  <c:v>8.6093799999999998</c:v>
                </c:pt>
                <c:pt idx="2">
                  <c:v>8.6430049999999987</c:v>
                </c:pt>
                <c:pt idx="3">
                  <c:v>8.8830349999999996</c:v>
                </c:pt>
                <c:pt idx="4">
                  <c:v>9.9269549999999995</c:v>
                </c:pt>
                <c:pt idx="5">
                  <c:v>11.859635000000001</c:v>
                </c:pt>
                <c:pt idx="6">
                  <c:v>12.031180000000001</c:v>
                </c:pt>
                <c:pt idx="7">
                  <c:v>13.128665000000002</c:v>
                </c:pt>
                <c:pt idx="8">
                  <c:v>14.578844999999999</c:v>
                </c:pt>
                <c:pt idx="9">
                  <c:v>13.370434999999999</c:v>
                </c:pt>
                <c:pt idx="10">
                  <c:v>12.454295</c:v>
                </c:pt>
                <c:pt idx="11">
                  <c:v>13.647309999999999</c:v>
                </c:pt>
                <c:pt idx="12">
                  <c:v>14.031874999999999</c:v>
                </c:pt>
                <c:pt idx="13">
                  <c:v>35.49427</c:v>
                </c:pt>
                <c:pt idx="14" formatCode="#\ ##0.00_ ;[Red]\-#\ ##0.00\ ">
                  <c:v>37.889859999999999</c:v>
                </c:pt>
                <c:pt idx="15" formatCode="#\ ##0.00_ ;[Red]\-#\ ##0.00\ ">
                  <c:v>36.436985</c:v>
                </c:pt>
                <c:pt idx="16" formatCode="#\ ##0.00_ ;[Red]\-#\ ##0.00\ ">
                  <c:v>35.6</c:v>
                </c:pt>
                <c:pt idx="17" formatCode="#\ ##0.00_ ;[Red]\-#\ ##0.00\ ">
                  <c:v>37.83</c:v>
                </c:pt>
              </c:numCache>
            </c:numRef>
          </c:val>
        </c:ser>
        <c:ser>
          <c:idx val="2"/>
          <c:order val="2"/>
          <c:tx>
            <c:strRef>
              <c:f>SCA!$B$5</c:f>
              <c:strCache>
                <c:ptCount val="1"/>
                <c:pt idx="0">
                  <c:v>Dywidenda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SCA!$C$5:$T$5</c:f>
              <c:numCache>
                <c:formatCode>"zł"#,##0.00_);[Red]\("zł"#,##0.00\)</c:formatCode>
                <c:ptCount val="18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11.68</c:v>
                </c:pt>
                <c:pt idx="4">
                  <c:v>11.68</c:v>
                </c:pt>
                <c:pt idx="5">
                  <c:v>11.68</c:v>
                </c:pt>
                <c:pt idx="6">
                  <c:v>11.68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14.9</c:v>
                </c:pt>
                <c:pt idx="12">
                  <c:v>14.9</c:v>
                </c:pt>
                <c:pt idx="13">
                  <c:v>14.9</c:v>
                </c:pt>
                <c:pt idx="14" formatCode="#\ ##0.00_ ;[Red]\-#\ ##0.00\ ">
                  <c:v>14.9</c:v>
                </c:pt>
                <c:pt idx="15" formatCode="#\ ##0.00_ ;[Red]\-#\ ##0.00\ ">
                  <c:v>28.34</c:v>
                </c:pt>
                <c:pt idx="16" formatCode="#\ ##0.00_ ;[Red]\-#\ ##0.00\ ">
                  <c:v>28.34</c:v>
                </c:pt>
                <c:pt idx="17" formatCode="#\ ##0.00_ ;[Red]\-#\ ##0.00\ ">
                  <c:v>28.34</c:v>
                </c:pt>
              </c:numCache>
            </c:numRef>
          </c:val>
        </c:ser>
        <c:ser>
          <c:idx val="3"/>
          <c:order val="3"/>
          <c:tx>
            <c:strRef>
              <c:f>SCA!$B$6</c:f>
              <c:strCache>
                <c:ptCount val="1"/>
                <c:pt idx="0">
                  <c:v>Wartość firmy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SCA!$C$6:$T$6</c:f>
              <c:numCache>
                <c:formatCode>"zł"#,##0.00_);[Red]\("zł"#,##0.00\)</c:formatCode>
                <c:ptCount val="18"/>
                <c:pt idx="0">
                  <c:v>-45.040644999999998</c:v>
                </c:pt>
                <c:pt idx="1">
                  <c:v>-28.684345000000008</c:v>
                </c:pt>
                <c:pt idx="2">
                  <c:v>16.777995000000004</c:v>
                </c:pt>
                <c:pt idx="3">
                  <c:v>16.109665</c:v>
                </c:pt>
                <c:pt idx="4">
                  <c:v>31.380919999999989</c:v>
                </c:pt>
                <c:pt idx="5">
                  <c:v>26.487809999999996</c:v>
                </c:pt>
                <c:pt idx="6">
                  <c:v>2.0417599999999823</c:v>
                </c:pt>
                <c:pt idx="7">
                  <c:v>33.127830000000003</c:v>
                </c:pt>
                <c:pt idx="8">
                  <c:v>80.810539999999989</c:v>
                </c:pt>
                <c:pt idx="9">
                  <c:v>79.05172499999999</c:v>
                </c:pt>
                <c:pt idx="10">
                  <c:v>99.405670000000001</c:v>
                </c:pt>
                <c:pt idx="11">
                  <c:v>2.4786699999999939</c:v>
                </c:pt>
                <c:pt idx="12">
                  <c:v>-35.243660000000006</c:v>
                </c:pt>
                <c:pt idx="13">
                  <c:v>-27.918045000000035</c:v>
                </c:pt>
                <c:pt idx="14" formatCode="#\ ##0.00_ ;[Red]\-#\ ##0.00\ ">
                  <c:v>-10.918530000000004</c:v>
                </c:pt>
                <c:pt idx="15" formatCode="#\ ##0.00_ ;[Red]\-#\ ##0.00\ ">
                  <c:v>-17.366380000000021</c:v>
                </c:pt>
                <c:pt idx="16" formatCode="#\ ##0.00_ ;[Red]\-#\ ##0.00\ ">
                  <c:v>17.509999999999991</c:v>
                </c:pt>
                <c:pt idx="17" formatCode="#\ ##0.00_ ;[Red]\-#\ ##0.00\ ">
                  <c:v>-25.669999999999987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727624"/>
        <c:axId val="271728408"/>
      </c:areaChart>
      <c:catAx>
        <c:axId val="27172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1728408"/>
        <c:crosses val="autoZero"/>
        <c:auto val="1"/>
        <c:lblAlgn val="ctr"/>
        <c:lblOffset val="100"/>
        <c:noMultiLvlLbl val="0"/>
      </c:catAx>
      <c:valAx>
        <c:axId val="27172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zł&quot;#,##0.00_);[Red]\(&quot;zł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1727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KGHM</a:t>
            </a:r>
            <a:r>
              <a:rPr lang="pl-PL" b="1" baseline="0"/>
              <a:t> - struktura ceny akcji</a:t>
            </a:r>
            <a:endParaRPr lang="pl-PL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SCA!$B$3</c:f>
              <c:strCache>
                <c:ptCount val="1"/>
                <c:pt idx="0">
                  <c:v>Kapitał własny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SCA!$C$3:$T$3</c:f>
              <c:numCache>
                <c:formatCode>"zł"#,##0.00_);[Red]\("zł"#,##0.00\)</c:formatCode>
                <c:ptCount val="18"/>
                <c:pt idx="0">
                  <c:v>54.914324999999998</c:v>
                </c:pt>
                <c:pt idx="1">
                  <c:v>56.764964999999997</c:v>
                </c:pt>
                <c:pt idx="2">
                  <c:v>47.079000000000001</c:v>
                </c:pt>
                <c:pt idx="3">
                  <c:v>49.7273</c:v>
                </c:pt>
                <c:pt idx="4">
                  <c:v>53.012124999999997</c:v>
                </c:pt>
                <c:pt idx="5">
                  <c:v>56.872554999999998</c:v>
                </c:pt>
                <c:pt idx="6">
                  <c:v>62.847059999999999</c:v>
                </c:pt>
                <c:pt idx="7">
                  <c:v>68.04350500000001</c:v>
                </c:pt>
                <c:pt idx="8">
                  <c:v>74.61061500000001</c:v>
                </c:pt>
                <c:pt idx="9">
                  <c:v>84.777839999999998</c:v>
                </c:pt>
                <c:pt idx="10">
                  <c:v>82.140034999999997</c:v>
                </c:pt>
                <c:pt idx="11">
                  <c:v>99.97402000000001</c:v>
                </c:pt>
                <c:pt idx="12">
                  <c:v>116.91178500000001</c:v>
                </c:pt>
                <c:pt idx="13">
                  <c:v>120.62377499999999</c:v>
                </c:pt>
                <c:pt idx="14" formatCode="#\ ##0.00_ ;[Red]\-#\ ##0.00\ ">
                  <c:v>103.12867</c:v>
                </c:pt>
                <c:pt idx="15" formatCode="#\ ##0.00_ ;[Red]\-#\ ##0.00\ ">
                  <c:v>105.08939500000001</c:v>
                </c:pt>
                <c:pt idx="16" formatCode="#\ ##0.00_ ;[Red]\-#\ ##0.00\ ">
                  <c:v>108.55</c:v>
                </c:pt>
                <c:pt idx="17" formatCode="#\ ##0.00_ ;[Red]\-#\ ##0.00\ ">
                  <c:v>117.3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SCA!$B$4</c:f>
              <c:strCache>
                <c:ptCount val="1"/>
                <c:pt idx="0">
                  <c:v>Kapitał obcy długoterminowy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SCA!$C$4:$T$4</c:f>
              <c:numCache>
                <c:formatCode>"zł"#,##0.00_);[Red]\("zł"#,##0.00\)</c:formatCode>
                <c:ptCount val="18"/>
                <c:pt idx="0">
                  <c:v>9.246319999999999</c:v>
                </c:pt>
                <c:pt idx="1">
                  <c:v>8.6093799999999998</c:v>
                </c:pt>
                <c:pt idx="2">
                  <c:v>8.6430049999999987</c:v>
                </c:pt>
                <c:pt idx="3">
                  <c:v>8.8830349999999996</c:v>
                </c:pt>
                <c:pt idx="4">
                  <c:v>9.9269549999999995</c:v>
                </c:pt>
                <c:pt idx="5">
                  <c:v>11.859635000000001</c:v>
                </c:pt>
                <c:pt idx="6">
                  <c:v>12.031180000000001</c:v>
                </c:pt>
                <c:pt idx="7">
                  <c:v>13.128665000000002</c:v>
                </c:pt>
                <c:pt idx="8">
                  <c:v>14.578844999999999</c:v>
                </c:pt>
                <c:pt idx="9">
                  <c:v>13.370434999999999</c:v>
                </c:pt>
                <c:pt idx="10">
                  <c:v>12.454295</c:v>
                </c:pt>
                <c:pt idx="11">
                  <c:v>13.647309999999999</c:v>
                </c:pt>
                <c:pt idx="12">
                  <c:v>14.031874999999999</c:v>
                </c:pt>
                <c:pt idx="13">
                  <c:v>35.49427</c:v>
                </c:pt>
                <c:pt idx="14" formatCode="#\ ##0.00_ ;[Red]\-#\ ##0.00\ ">
                  <c:v>37.889859999999999</c:v>
                </c:pt>
                <c:pt idx="15" formatCode="#\ ##0.00_ ;[Red]\-#\ ##0.00\ ">
                  <c:v>36.436985</c:v>
                </c:pt>
                <c:pt idx="16" formatCode="#\ ##0.00_ ;[Red]\-#\ ##0.00\ ">
                  <c:v>35.6</c:v>
                </c:pt>
                <c:pt idx="17" formatCode="#\ ##0.00_ ;[Red]\-#\ ##0.00\ ">
                  <c:v>37.83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SCA!$B$5</c:f>
              <c:strCache>
                <c:ptCount val="1"/>
                <c:pt idx="0">
                  <c:v>Dywidenda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SCA!$C$5:$T$5</c:f>
              <c:numCache>
                <c:formatCode>"zł"#,##0.00_);[Red]\("zł"#,##0.00\)</c:formatCode>
                <c:ptCount val="18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11.68</c:v>
                </c:pt>
                <c:pt idx="4">
                  <c:v>11.68</c:v>
                </c:pt>
                <c:pt idx="5">
                  <c:v>11.68</c:v>
                </c:pt>
                <c:pt idx="6">
                  <c:v>11.68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14.9</c:v>
                </c:pt>
                <c:pt idx="12">
                  <c:v>14.9</c:v>
                </c:pt>
                <c:pt idx="13">
                  <c:v>14.9</c:v>
                </c:pt>
                <c:pt idx="14" formatCode="#\ ##0.00_ ;[Red]\-#\ ##0.00\ ">
                  <c:v>14.9</c:v>
                </c:pt>
                <c:pt idx="15" formatCode="#\ ##0.00_ ;[Red]\-#\ ##0.00\ ">
                  <c:v>28.34</c:v>
                </c:pt>
                <c:pt idx="16" formatCode="#\ ##0.00_ ;[Red]\-#\ ##0.00\ ">
                  <c:v>28.34</c:v>
                </c:pt>
                <c:pt idx="17" formatCode="#\ ##0.00_ ;[Red]\-#\ ##0.00\ ">
                  <c:v>28.34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SCA!$B$6</c:f>
              <c:strCache>
                <c:ptCount val="1"/>
                <c:pt idx="0">
                  <c:v>Wartość firmy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SCA!$C$2:$T$2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SCA!$C$6:$T$6</c:f>
              <c:numCache>
                <c:formatCode>"zł"#,##0.00_);[Red]\("zł"#,##0.00\)</c:formatCode>
                <c:ptCount val="18"/>
                <c:pt idx="0">
                  <c:v>-45.040644999999998</c:v>
                </c:pt>
                <c:pt idx="1">
                  <c:v>-28.684345000000008</c:v>
                </c:pt>
                <c:pt idx="2">
                  <c:v>16.777995000000004</c:v>
                </c:pt>
                <c:pt idx="3">
                  <c:v>16.109665</c:v>
                </c:pt>
                <c:pt idx="4">
                  <c:v>31.380919999999989</c:v>
                </c:pt>
                <c:pt idx="5">
                  <c:v>26.487809999999996</c:v>
                </c:pt>
                <c:pt idx="6">
                  <c:v>2.0417599999999823</c:v>
                </c:pt>
                <c:pt idx="7">
                  <c:v>33.127830000000003</c:v>
                </c:pt>
                <c:pt idx="8">
                  <c:v>80.810539999999989</c:v>
                </c:pt>
                <c:pt idx="9">
                  <c:v>79.05172499999999</c:v>
                </c:pt>
                <c:pt idx="10">
                  <c:v>99.405670000000001</c:v>
                </c:pt>
                <c:pt idx="11">
                  <c:v>2.4786699999999939</c:v>
                </c:pt>
                <c:pt idx="12">
                  <c:v>-35.243660000000006</c:v>
                </c:pt>
                <c:pt idx="13">
                  <c:v>-27.918045000000035</c:v>
                </c:pt>
                <c:pt idx="14" formatCode="#\ ##0.00_ ;[Red]\-#\ ##0.00\ ">
                  <c:v>-10.918530000000004</c:v>
                </c:pt>
                <c:pt idx="15" formatCode="#\ ##0.00_ ;[Red]\-#\ ##0.00\ ">
                  <c:v>-17.366380000000021</c:v>
                </c:pt>
                <c:pt idx="16" formatCode="#\ ##0.00_ ;[Red]\-#\ ##0.00\ ">
                  <c:v>17.509999999999991</c:v>
                </c:pt>
                <c:pt idx="17" formatCode="#\ ##0.00_ ;[Red]\-#\ ##0.00\ ">
                  <c:v>-25.669999999999987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727232"/>
        <c:axId val="271728016"/>
      </c:lineChart>
      <c:catAx>
        <c:axId val="2717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1728016"/>
        <c:crosses val="autoZero"/>
        <c:auto val="1"/>
        <c:lblAlgn val="ctr"/>
        <c:lblOffset val="100"/>
        <c:noMultiLvlLbl val="0"/>
      </c:catAx>
      <c:valAx>
        <c:axId val="27172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zł&quot;#,##0.00_);[Red]\(&quot;zł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17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15</xdr:row>
      <xdr:rowOff>176212</xdr:rowOff>
    </xdr:from>
    <xdr:to>
      <xdr:col>10</xdr:col>
      <xdr:colOff>523875</xdr:colOff>
      <xdr:row>30</xdr:row>
      <xdr:rowOff>61912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533400</xdr:colOff>
      <xdr:row>15</xdr:row>
      <xdr:rowOff>147637</xdr:rowOff>
    </xdr:from>
    <xdr:to>
      <xdr:col>19</xdr:col>
      <xdr:colOff>228600</xdr:colOff>
      <xdr:row>30</xdr:row>
      <xdr:rowOff>33337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533400</xdr:colOff>
      <xdr:row>31</xdr:row>
      <xdr:rowOff>14287</xdr:rowOff>
    </xdr:from>
    <xdr:to>
      <xdr:col>19</xdr:col>
      <xdr:colOff>228600</xdr:colOff>
      <xdr:row>45</xdr:row>
      <xdr:rowOff>90487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3/Desktop/Roj/kursynowe/KGHM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129">
          <cell r="E129">
            <v>28.12</v>
          </cell>
        </row>
        <row r="191">
          <cell r="E191">
            <v>45.69</v>
          </cell>
        </row>
        <row r="252">
          <cell r="E252">
            <v>81.5</v>
          </cell>
          <cell r="FR252">
            <v>52.676679999999969</v>
          </cell>
        </row>
        <row r="318">
          <cell r="E318">
            <v>86.4</v>
          </cell>
          <cell r="FR318">
            <v>54.841314741035859</v>
          </cell>
        </row>
        <row r="381">
          <cell r="E381">
            <v>106</v>
          </cell>
          <cell r="FR381">
            <v>72.608611111111074</v>
          </cell>
        </row>
        <row r="443">
          <cell r="E443">
            <v>106.9</v>
          </cell>
          <cell r="FR443">
            <v>88.275793650793574</v>
          </cell>
        </row>
        <row r="505">
          <cell r="E505">
            <v>88.6</v>
          </cell>
          <cell r="FR505">
            <v>96.311264822134362</v>
          </cell>
        </row>
        <row r="571">
          <cell r="E571">
            <v>117.3</v>
          </cell>
          <cell r="FR571">
            <v>102.07667984189732</v>
          </cell>
        </row>
        <row r="634">
          <cell r="E634">
            <v>173</v>
          </cell>
          <cell r="FR634">
            <v>111.99683794466409</v>
          </cell>
        </row>
        <row r="697">
          <cell r="E697">
            <v>180.2</v>
          </cell>
          <cell r="FR697">
            <v>129.890157480315</v>
          </cell>
        </row>
        <row r="758">
          <cell r="E758">
            <v>197</v>
          </cell>
          <cell r="FR758">
            <v>151.52411067193671</v>
          </cell>
        </row>
        <row r="823">
          <cell r="E823">
            <v>131</v>
          </cell>
          <cell r="FR823">
            <v>168.08452380952389</v>
          </cell>
        </row>
        <row r="885">
          <cell r="E885">
            <v>110.6</v>
          </cell>
          <cell r="FR885">
            <v>166.9450199203188</v>
          </cell>
        </row>
        <row r="949">
          <cell r="E949">
            <v>143.1</v>
          </cell>
          <cell r="FR949">
            <v>157.7182539682542</v>
          </cell>
        </row>
        <row r="1009">
          <cell r="E1009">
            <v>145</v>
          </cell>
          <cell r="FR1009">
            <v>144.71952191235053</v>
          </cell>
        </row>
        <row r="1072">
          <cell r="E1072">
            <v>152.5</v>
          </cell>
          <cell r="FR1072">
            <v>135.84457831325295</v>
          </cell>
        </row>
        <row r="1133">
          <cell r="E1133">
            <v>190</v>
          </cell>
          <cell r="FR1133">
            <v>144.59233870967751</v>
          </cell>
        </row>
        <row r="1195">
          <cell r="E1195">
            <v>157.80000000000001</v>
          </cell>
          <cell r="FR1195">
            <v>155.5272357723577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04"/>
  <sheetViews>
    <sheetView workbookViewId="0">
      <pane xSplit="2" ySplit="2" topLeftCell="V91" activePane="bottomRight" state="frozen"/>
      <selection pane="topRight" activeCell="C1" sqref="C1"/>
      <selection pane="bottomLeft" activeCell="A3" sqref="A3"/>
      <selection pane="bottomRight" activeCell="H83" sqref="H83"/>
    </sheetView>
  </sheetViews>
  <sheetFormatPr defaultColWidth="8.7109375" defaultRowHeight="15" x14ac:dyDescent="0.25"/>
  <cols>
    <col min="1" max="1" width="2.85546875" customWidth="1"/>
    <col min="2" max="2" width="41.42578125" customWidth="1"/>
    <col min="3" max="3" width="9.7109375" customWidth="1"/>
    <col min="4" max="6" width="9.7109375" hidden="1" customWidth="1"/>
    <col min="7" max="24" width="12.7109375" customWidth="1"/>
    <col min="25" max="25" width="2.5703125" customWidth="1"/>
    <col min="26" max="26" width="10.28515625" bestFit="1" customWidth="1"/>
    <col min="27" max="27" width="10.28515625" customWidth="1"/>
  </cols>
  <sheetData>
    <row r="2" spans="2:24" x14ac:dyDescent="0.25">
      <c r="B2" s="9" t="s">
        <v>169</v>
      </c>
      <c r="C2" s="26" t="s">
        <v>125</v>
      </c>
      <c r="D2" s="26" t="s">
        <v>131</v>
      </c>
      <c r="E2" s="26" t="s">
        <v>132</v>
      </c>
      <c r="F2" s="26" t="s">
        <v>133</v>
      </c>
      <c r="G2" s="26" t="s">
        <v>134</v>
      </c>
      <c r="H2" s="26" t="s">
        <v>21</v>
      </c>
      <c r="I2" s="26" t="s">
        <v>25</v>
      </c>
      <c r="J2" s="26" t="s">
        <v>26</v>
      </c>
      <c r="K2" s="26" t="s">
        <v>27</v>
      </c>
      <c r="L2" s="26" t="s">
        <v>28</v>
      </c>
      <c r="M2" s="26" t="s">
        <v>29</v>
      </c>
      <c r="N2" s="26" t="s">
        <v>30</v>
      </c>
      <c r="O2" s="26" t="s">
        <v>31</v>
      </c>
      <c r="P2" s="26" t="s">
        <v>32</v>
      </c>
      <c r="Q2" s="26" t="s">
        <v>33</v>
      </c>
      <c r="R2" s="26" t="s">
        <v>34</v>
      </c>
      <c r="S2" s="26" t="s">
        <v>35</v>
      </c>
      <c r="T2" s="26" t="s">
        <v>36</v>
      </c>
      <c r="U2" s="26" t="s">
        <v>37</v>
      </c>
      <c r="V2" s="26" t="s">
        <v>38</v>
      </c>
      <c r="W2" s="26" t="s">
        <v>39</v>
      </c>
      <c r="X2" s="26" t="s">
        <v>40</v>
      </c>
    </row>
    <row r="3" spans="2:24" x14ac:dyDescent="0.25">
      <c r="D3" s="5"/>
      <c r="E3" s="5"/>
      <c r="F3" s="5"/>
    </row>
    <row r="4" spans="2:24" x14ac:dyDescent="0.25">
      <c r="B4" s="9" t="s">
        <v>10</v>
      </c>
      <c r="C4" s="11"/>
      <c r="D4" s="11"/>
      <c r="E4" s="11"/>
      <c r="F4" s="11"/>
      <c r="G4" s="11"/>
    </row>
    <row r="5" spans="2:24" x14ac:dyDescent="0.25">
      <c r="D5" s="5"/>
      <c r="E5" s="5"/>
      <c r="F5" s="5"/>
    </row>
    <row r="6" spans="2:24" x14ac:dyDescent="0.25">
      <c r="B6" s="1" t="s">
        <v>4</v>
      </c>
      <c r="C6" s="1" t="s">
        <v>124</v>
      </c>
      <c r="D6" s="5"/>
      <c r="E6" s="5"/>
      <c r="F6" s="5"/>
      <c r="G6" s="3">
        <v>9113159</v>
      </c>
      <c r="H6" s="3">
        <v>9190184</v>
      </c>
      <c r="I6" s="3">
        <v>9210885</v>
      </c>
      <c r="J6" s="3">
        <v>9472471</v>
      </c>
      <c r="K6" s="3">
        <v>9800634</v>
      </c>
      <c r="L6" s="3">
        <v>10305859</v>
      </c>
      <c r="M6" s="3">
        <v>11070725</v>
      </c>
      <c r="N6" s="3">
        <v>11688608</v>
      </c>
      <c r="O6" s="3">
        <v>12480642</v>
      </c>
      <c r="P6" s="3">
        <v>12916975</v>
      </c>
      <c r="Q6" s="3">
        <v>11602368</v>
      </c>
      <c r="R6" s="3">
        <v>11706648</v>
      </c>
      <c r="S6" s="3">
        <v>12037063</v>
      </c>
      <c r="T6" s="3">
        <v>21651757</v>
      </c>
      <c r="U6" s="3">
        <v>23048083</v>
      </c>
      <c r="V6" s="3">
        <v>23153259</v>
      </c>
      <c r="W6" s="3">
        <v>23762000</v>
      </c>
      <c r="X6" s="3">
        <v>25023000</v>
      </c>
    </row>
    <row r="7" spans="2:24" x14ac:dyDescent="0.25">
      <c r="D7" s="5"/>
      <c r="E7" s="5"/>
      <c r="F7" s="5"/>
    </row>
    <row r="8" spans="2:24" x14ac:dyDescent="0.25">
      <c r="B8" s="6" t="s">
        <v>3</v>
      </c>
      <c r="C8" s="1" t="s">
        <v>124</v>
      </c>
      <c r="D8" s="5"/>
      <c r="E8" s="5"/>
      <c r="F8" s="5"/>
      <c r="G8" s="7">
        <v>2065763</v>
      </c>
      <c r="H8" s="7">
        <v>2404066</v>
      </c>
      <c r="I8" s="7">
        <v>2466185</v>
      </c>
      <c r="J8" s="7">
        <v>1573506</v>
      </c>
      <c r="K8" s="7">
        <v>1197077</v>
      </c>
      <c r="L8" s="7">
        <v>1668085</v>
      </c>
      <c r="M8" s="7">
        <v>2343916</v>
      </c>
      <c r="N8" s="7">
        <v>2541207</v>
      </c>
      <c r="O8" s="7">
        <v>3086957</v>
      </c>
      <c r="P8" s="7">
        <v>3403134</v>
      </c>
      <c r="Q8" s="7">
        <v>6096204</v>
      </c>
      <c r="R8" s="7">
        <v>6685499</v>
      </c>
      <c r="S8" s="7">
        <v>13130401</v>
      </c>
      <c r="T8" s="7">
        <v>7552744</v>
      </c>
      <c r="U8" s="7">
        <v>6782892</v>
      </c>
      <c r="V8" s="7">
        <v>3594317</v>
      </c>
      <c r="W8" s="7">
        <v>2629000</v>
      </c>
      <c r="X8" s="7">
        <v>2263000</v>
      </c>
    </row>
    <row r="9" spans="2:24" x14ac:dyDescent="0.25">
      <c r="B9" s="8" t="s">
        <v>11</v>
      </c>
      <c r="C9" s="1" t="s">
        <v>124</v>
      </c>
      <c r="D9" s="5"/>
      <c r="E9" s="5"/>
      <c r="F9" s="5"/>
      <c r="G9" s="7">
        <f t="shared" ref="G9:H9" si="0">+G10-G8</f>
        <v>3821183</v>
      </c>
      <c r="H9" s="7">
        <f t="shared" si="0"/>
        <v>3587378</v>
      </c>
      <c r="I9" s="7">
        <f t="shared" ref="I9:X9" si="1">+I10-I8</f>
        <v>3794904</v>
      </c>
      <c r="J9" s="7">
        <f t="shared" si="1"/>
        <v>3609107</v>
      </c>
      <c r="K9" s="7">
        <f t="shared" si="1"/>
        <v>3892709</v>
      </c>
      <c r="L9" s="7">
        <f t="shared" si="1"/>
        <v>4474208</v>
      </c>
      <c r="M9" s="7">
        <f t="shared" si="1"/>
        <v>4535638</v>
      </c>
      <c r="N9" s="7">
        <f t="shared" si="1"/>
        <v>4762798</v>
      </c>
      <c r="O9" s="7">
        <f t="shared" si="1"/>
        <v>5673130</v>
      </c>
      <c r="P9" s="7">
        <f t="shared" si="1"/>
        <v>6218226</v>
      </c>
      <c r="Q9" s="7">
        <f t="shared" si="1"/>
        <v>7454021</v>
      </c>
      <c r="R9" s="7">
        <f t="shared" si="1"/>
        <v>8045039</v>
      </c>
      <c r="S9" s="7">
        <f t="shared" si="1"/>
        <v>5386410</v>
      </c>
      <c r="T9" s="7">
        <f t="shared" si="1"/>
        <v>7076403</v>
      </c>
      <c r="U9" s="7">
        <f t="shared" si="1"/>
        <v>7928447</v>
      </c>
      <c r="V9" s="7">
        <f t="shared" si="1"/>
        <v>7412974</v>
      </c>
      <c r="W9" s="7">
        <f t="shared" si="1"/>
        <v>7225000</v>
      </c>
      <c r="X9" s="7">
        <f t="shared" si="1"/>
        <v>7782000</v>
      </c>
    </row>
    <row r="10" spans="2:24" x14ac:dyDescent="0.25">
      <c r="B10" s="1" t="s">
        <v>5</v>
      </c>
      <c r="C10" s="1" t="s">
        <v>124</v>
      </c>
      <c r="D10" s="5"/>
      <c r="E10" s="5"/>
      <c r="F10" s="5"/>
      <c r="G10" s="3">
        <v>5886946</v>
      </c>
      <c r="H10" s="3">
        <v>5991444</v>
      </c>
      <c r="I10" s="3">
        <v>6261089</v>
      </c>
      <c r="J10" s="3">
        <v>5182613</v>
      </c>
      <c r="K10" s="3">
        <v>5089786</v>
      </c>
      <c r="L10" s="3">
        <v>6142293</v>
      </c>
      <c r="M10" s="3">
        <v>6879554</v>
      </c>
      <c r="N10" s="3">
        <v>7304005</v>
      </c>
      <c r="O10" s="3">
        <v>8760087</v>
      </c>
      <c r="P10" s="3">
        <v>9621360</v>
      </c>
      <c r="Q10" s="3">
        <v>13550225</v>
      </c>
      <c r="R10" s="3">
        <v>14730538</v>
      </c>
      <c r="S10" s="3">
        <v>18516811</v>
      </c>
      <c r="T10" s="3">
        <v>14629147</v>
      </c>
      <c r="U10" s="3">
        <v>14711339</v>
      </c>
      <c r="V10" s="3">
        <v>11007291</v>
      </c>
      <c r="W10" s="3">
        <v>9854000</v>
      </c>
      <c r="X10" s="3">
        <v>10045000</v>
      </c>
    </row>
    <row r="11" spans="2:24" x14ac:dyDescent="0.25">
      <c r="D11" s="5"/>
      <c r="E11" s="5"/>
      <c r="F11" s="5"/>
    </row>
    <row r="12" spans="2:24" x14ac:dyDescent="0.25">
      <c r="B12" s="1" t="s">
        <v>12</v>
      </c>
      <c r="C12" s="1" t="s">
        <v>124</v>
      </c>
      <c r="D12" s="5"/>
      <c r="E12" s="5"/>
      <c r="F12" s="5"/>
      <c r="G12" s="3">
        <f t="shared" ref="G12:H12" si="2">+G14-G6-G10</f>
        <v>0</v>
      </c>
      <c r="H12" s="3">
        <f t="shared" si="2"/>
        <v>0</v>
      </c>
      <c r="I12" s="3">
        <f t="shared" ref="I12:X12" si="3">+I14-I6-I10</f>
        <v>0</v>
      </c>
      <c r="J12" s="3">
        <f t="shared" si="3"/>
        <v>0</v>
      </c>
      <c r="K12" s="3">
        <f t="shared" si="3"/>
        <v>0</v>
      </c>
      <c r="L12" s="3">
        <f t="shared" si="3"/>
        <v>0</v>
      </c>
      <c r="M12" s="3">
        <f t="shared" si="3"/>
        <v>0</v>
      </c>
      <c r="N12" s="3">
        <f t="shared" si="3"/>
        <v>0</v>
      </c>
      <c r="O12" s="3">
        <f t="shared" si="3"/>
        <v>0</v>
      </c>
      <c r="P12" s="3">
        <f t="shared" si="3"/>
        <v>0</v>
      </c>
      <c r="Q12" s="3">
        <f t="shared" si="3"/>
        <v>0</v>
      </c>
      <c r="R12" s="3">
        <f t="shared" si="3"/>
        <v>0</v>
      </c>
      <c r="S12" s="3">
        <f t="shared" si="3"/>
        <v>0</v>
      </c>
      <c r="T12" s="3">
        <f t="shared" si="3"/>
        <v>0</v>
      </c>
      <c r="U12" s="3">
        <f t="shared" si="3"/>
        <v>0</v>
      </c>
      <c r="V12" s="3">
        <f t="shared" si="3"/>
        <v>0</v>
      </c>
      <c r="W12" s="3">
        <f t="shared" si="3"/>
        <v>0</v>
      </c>
      <c r="X12" s="3">
        <f t="shared" si="3"/>
        <v>0</v>
      </c>
    </row>
    <row r="13" spans="2:24" x14ac:dyDescent="0.25">
      <c r="D13" s="5"/>
      <c r="E13" s="5"/>
      <c r="F13" s="5"/>
    </row>
    <row r="14" spans="2:24" x14ac:dyDescent="0.25">
      <c r="B14" s="9" t="s">
        <v>6</v>
      </c>
      <c r="C14" s="1" t="s">
        <v>124</v>
      </c>
      <c r="D14" s="5"/>
      <c r="E14" s="5"/>
      <c r="F14" s="5"/>
      <c r="G14" s="10">
        <v>15000105</v>
      </c>
      <c r="H14" s="10">
        <v>15181628</v>
      </c>
      <c r="I14" s="10">
        <v>15471974</v>
      </c>
      <c r="J14" s="10">
        <v>14655084</v>
      </c>
      <c r="K14" s="10">
        <v>14890420</v>
      </c>
      <c r="L14" s="10">
        <v>16448152</v>
      </c>
      <c r="M14" s="10">
        <v>17950279</v>
      </c>
      <c r="N14" s="10">
        <v>18992613</v>
      </c>
      <c r="O14" s="10">
        <v>21240729</v>
      </c>
      <c r="P14" s="10">
        <v>22538335</v>
      </c>
      <c r="Q14" s="10">
        <v>25152593</v>
      </c>
      <c r="R14" s="10">
        <v>26437186</v>
      </c>
      <c r="S14" s="10">
        <v>30553874</v>
      </c>
      <c r="T14" s="10">
        <v>36280904</v>
      </c>
      <c r="U14" s="10">
        <v>37759422</v>
      </c>
      <c r="V14" s="10">
        <v>34160550</v>
      </c>
      <c r="W14" s="10">
        <v>33616000</v>
      </c>
      <c r="X14" s="10">
        <v>35068000</v>
      </c>
    </row>
    <row r="15" spans="2:24" x14ac:dyDescent="0.25">
      <c r="D15" s="5"/>
      <c r="E15" s="5"/>
      <c r="F15" s="5"/>
    </row>
    <row r="16" spans="2:24" x14ac:dyDescent="0.25">
      <c r="B16" s="6" t="s">
        <v>8</v>
      </c>
      <c r="C16" s="1" t="s">
        <v>124</v>
      </c>
      <c r="D16" s="5"/>
      <c r="E16" s="5"/>
      <c r="F16" s="5"/>
      <c r="G16" s="7">
        <v>1849264</v>
      </c>
      <c r="H16" s="7">
        <v>1721876</v>
      </c>
      <c r="I16" s="7">
        <v>1728601</v>
      </c>
      <c r="J16" s="7">
        <v>1776607</v>
      </c>
      <c r="K16" s="7">
        <v>1985391</v>
      </c>
      <c r="L16" s="7">
        <v>2371927</v>
      </c>
      <c r="M16" s="7">
        <v>2406236</v>
      </c>
      <c r="N16" s="7">
        <v>2625733</v>
      </c>
      <c r="O16" s="7">
        <v>2915769</v>
      </c>
      <c r="P16" s="7">
        <v>2674087</v>
      </c>
      <c r="Q16" s="7">
        <v>2490859</v>
      </c>
      <c r="R16" s="7">
        <v>2729462</v>
      </c>
      <c r="S16" s="7">
        <v>2806375</v>
      </c>
      <c r="T16" s="7">
        <v>7098854</v>
      </c>
      <c r="U16" s="7">
        <v>7577972</v>
      </c>
      <c r="V16" s="7">
        <v>7287397</v>
      </c>
      <c r="W16" s="7">
        <v>7120000</v>
      </c>
      <c r="X16" s="7">
        <v>7566000</v>
      </c>
    </row>
    <row r="17" spans="2:24" x14ac:dyDescent="0.25">
      <c r="B17" s="6" t="s">
        <v>9</v>
      </c>
      <c r="C17" s="1" t="s">
        <v>124</v>
      </c>
      <c r="D17" s="5"/>
      <c r="E17" s="5"/>
      <c r="F17" s="5"/>
      <c r="G17" s="7">
        <v>2167976</v>
      </c>
      <c r="H17" s="7">
        <v>2106759</v>
      </c>
      <c r="I17" s="7">
        <v>4327573</v>
      </c>
      <c r="J17" s="7">
        <v>2933017</v>
      </c>
      <c r="K17" s="7">
        <v>2302604</v>
      </c>
      <c r="L17" s="7">
        <v>2701714</v>
      </c>
      <c r="M17" s="7">
        <v>2974631</v>
      </c>
      <c r="N17" s="7">
        <v>2758179</v>
      </c>
      <c r="O17" s="7">
        <v>3402837</v>
      </c>
      <c r="P17" s="7">
        <v>2908680</v>
      </c>
      <c r="Q17" s="7">
        <v>6233727</v>
      </c>
      <c r="R17" s="7">
        <v>3712920</v>
      </c>
      <c r="S17" s="7">
        <v>4365142</v>
      </c>
      <c r="T17" s="7">
        <v>5057295</v>
      </c>
      <c r="U17" s="7">
        <v>9555716</v>
      </c>
      <c r="V17" s="7">
        <v>5855274</v>
      </c>
      <c r="W17" s="7">
        <v>4786000</v>
      </c>
      <c r="X17" s="7">
        <v>4042000</v>
      </c>
    </row>
    <row r="18" spans="2:24" x14ac:dyDescent="0.25">
      <c r="B18" s="1" t="s">
        <v>13</v>
      </c>
      <c r="C18" s="1" t="s">
        <v>124</v>
      </c>
      <c r="D18" s="5"/>
      <c r="E18" s="5"/>
      <c r="F18" s="5"/>
      <c r="G18" s="3">
        <f t="shared" ref="G18:H18" si="4">+G17+G16</f>
        <v>4017240</v>
      </c>
      <c r="H18" s="3">
        <f t="shared" si="4"/>
        <v>3828635</v>
      </c>
      <c r="I18" s="3">
        <f t="shared" ref="I18:X18" si="5">+I17+I16</f>
        <v>6056174</v>
      </c>
      <c r="J18" s="3">
        <f t="shared" si="5"/>
        <v>4709624</v>
      </c>
      <c r="K18" s="3">
        <f t="shared" si="5"/>
        <v>4287995</v>
      </c>
      <c r="L18" s="3">
        <f t="shared" si="5"/>
        <v>5073641</v>
      </c>
      <c r="M18" s="3">
        <f t="shared" si="5"/>
        <v>5380867</v>
      </c>
      <c r="N18" s="3">
        <f t="shared" si="5"/>
        <v>5383912</v>
      </c>
      <c r="O18" s="3">
        <f t="shared" si="5"/>
        <v>6318606</v>
      </c>
      <c r="P18" s="3">
        <f t="shared" si="5"/>
        <v>5582767</v>
      </c>
      <c r="Q18" s="3">
        <f t="shared" si="5"/>
        <v>8724586</v>
      </c>
      <c r="R18" s="3">
        <f t="shared" si="5"/>
        <v>6442382</v>
      </c>
      <c r="S18" s="3">
        <f t="shared" si="5"/>
        <v>7171517</v>
      </c>
      <c r="T18" s="3">
        <f t="shared" si="5"/>
        <v>12156149</v>
      </c>
      <c r="U18" s="3">
        <f t="shared" si="5"/>
        <v>17133688</v>
      </c>
      <c r="V18" s="3">
        <f t="shared" si="5"/>
        <v>13142671</v>
      </c>
      <c r="W18" s="3">
        <f t="shared" si="5"/>
        <v>11906000</v>
      </c>
      <c r="X18" s="3">
        <f t="shared" si="5"/>
        <v>11608000</v>
      </c>
    </row>
    <row r="19" spans="2:24" x14ac:dyDescent="0.25">
      <c r="D19" s="5"/>
      <c r="E19" s="5"/>
      <c r="F19" s="5"/>
    </row>
    <row r="20" spans="2:24" x14ac:dyDescent="0.25">
      <c r="B20" s="6" t="s">
        <v>7</v>
      </c>
      <c r="C20" s="1" t="s">
        <v>124</v>
      </c>
      <c r="D20" s="5"/>
      <c r="E20" s="5"/>
      <c r="F20" s="5"/>
      <c r="G20" s="7">
        <v>2000000</v>
      </c>
      <c r="H20" s="7">
        <v>2000000</v>
      </c>
      <c r="I20" s="7">
        <v>2000000</v>
      </c>
      <c r="J20" s="7">
        <v>2000000</v>
      </c>
      <c r="K20" s="7">
        <v>2000000</v>
      </c>
      <c r="L20" s="7">
        <v>2000000</v>
      </c>
      <c r="M20" s="7">
        <v>2000000</v>
      </c>
      <c r="N20" s="7">
        <v>2000000</v>
      </c>
      <c r="O20" s="7">
        <v>2000000</v>
      </c>
      <c r="P20" s="7">
        <v>2000000</v>
      </c>
      <c r="Q20" s="7">
        <v>2000000</v>
      </c>
      <c r="R20" s="7">
        <v>2000000</v>
      </c>
      <c r="S20" s="7">
        <v>2000000</v>
      </c>
      <c r="T20" s="7">
        <v>2000000</v>
      </c>
      <c r="U20" s="7">
        <v>2000000</v>
      </c>
      <c r="V20" s="7">
        <v>2000000</v>
      </c>
      <c r="W20" s="7">
        <v>2000000</v>
      </c>
      <c r="X20" s="7">
        <v>2000000</v>
      </c>
    </row>
    <row r="21" spans="2:24" x14ac:dyDescent="0.25">
      <c r="B21" s="8" t="s">
        <v>14</v>
      </c>
      <c r="C21" s="1" t="s">
        <v>124</v>
      </c>
      <c r="D21" s="5"/>
      <c r="E21" s="5"/>
      <c r="F21" s="5"/>
      <c r="G21" s="7">
        <f t="shared" ref="G21:H21" si="6">+G22-G20</f>
        <v>8982865</v>
      </c>
      <c r="H21" s="7">
        <f t="shared" si="6"/>
        <v>9352993</v>
      </c>
      <c r="I21" s="7">
        <f t="shared" ref="I21:X21" si="7">+I22-I20</f>
        <v>7415800</v>
      </c>
      <c r="J21" s="7">
        <f t="shared" si="7"/>
        <v>7945460</v>
      </c>
      <c r="K21" s="7">
        <f t="shared" si="7"/>
        <v>8602425</v>
      </c>
      <c r="L21" s="7">
        <f t="shared" si="7"/>
        <v>9374511</v>
      </c>
      <c r="M21" s="7">
        <f t="shared" si="7"/>
        <v>10569412</v>
      </c>
      <c r="N21" s="7">
        <f t="shared" si="7"/>
        <v>11608701</v>
      </c>
      <c r="O21" s="7">
        <f t="shared" si="7"/>
        <v>12922123</v>
      </c>
      <c r="P21" s="7">
        <f t="shared" si="7"/>
        <v>14955568</v>
      </c>
      <c r="Q21" s="7">
        <f t="shared" si="7"/>
        <v>14428007</v>
      </c>
      <c r="R21" s="7">
        <f t="shared" si="7"/>
        <v>17994804</v>
      </c>
      <c r="S21" s="7">
        <f t="shared" si="7"/>
        <v>21382357</v>
      </c>
      <c r="T21" s="7">
        <f t="shared" si="7"/>
        <v>22124755</v>
      </c>
      <c r="U21" s="7">
        <f t="shared" si="7"/>
        <v>18625734</v>
      </c>
      <c r="V21" s="7">
        <f t="shared" si="7"/>
        <v>19017879</v>
      </c>
      <c r="W21" s="7">
        <f t="shared" si="7"/>
        <v>19710000</v>
      </c>
      <c r="X21" s="7">
        <f t="shared" si="7"/>
        <v>21460000</v>
      </c>
    </row>
    <row r="22" spans="2:24" x14ac:dyDescent="0.25">
      <c r="B22" s="1" t="s">
        <v>41</v>
      </c>
      <c r="C22" s="1" t="s">
        <v>124</v>
      </c>
      <c r="D22" s="5"/>
      <c r="E22" s="5"/>
      <c r="F22" s="5"/>
      <c r="G22" s="3">
        <f>+G23+58360</f>
        <v>10982865</v>
      </c>
      <c r="H22" s="3">
        <f>+H23+49200</f>
        <v>11352993</v>
      </c>
      <c r="I22" s="3">
        <f>+I23+49590</f>
        <v>9415800</v>
      </c>
      <c r="J22" s="3">
        <f>+J23+50701</f>
        <v>9945460</v>
      </c>
      <c r="K22" s="3">
        <f>+K23+77082</f>
        <v>10602425</v>
      </c>
      <c r="L22" s="3">
        <f>+L23+70920</f>
        <v>11374511</v>
      </c>
      <c r="M22" s="3">
        <f>+M23+71303</f>
        <v>12569412</v>
      </c>
      <c r="N22" s="3">
        <f>+N23+90754</f>
        <v>13608701</v>
      </c>
      <c r="O22" s="3">
        <f>+O23+255889</f>
        <v>14922123</v>
      </c>
      <c r="P22" s="3">
        <f>+P23+251921</f>
        <v>16955568</v>
      </c>
      <c r="Q22" s="3">
        <f>+Q23+249703</f>
        <v>16428007</v>
      </c>
      <c r="R22" s="3">
        <f>+R23+263067</f>
        <v>19994804</v>
      </c>
      <c r="S22" s="3">
        <f>+S23+282907</f>
        <v>23382357</v>
      </c>
      <c r="T22" s="3">
        <f>+T23+280597</f>
        <v>24124755</v>
      </c>
      <c r="U22" s="3">
        <f>+U23+235130</f>
        <v>20625734</v>
      </c>
      <c r="V22" s="3">
        <f>+V23+241991</f>
        <v>21017879</v>
      </c>
      <c r="W22" s="3">
        <f>+W23+232000</f>
        <v>21710000</v>
      </c>
      <c r="X22" s="3">
        <f>+X23+230000</f>
        <v>23460000</v>
      </c>
    </row>
    <row r="23" spans="2:24" ht="30" x14ac:dyDescent="0.25">
      <c r="B23" s="18" t="s">
        <v>163</v>
      </c>
      <c r="C23" s="8" t="s">
        <v>124</v>
      </c>
      <c r="D23" s="5"/>
      <c r="E23" s="5"/>
      <c r="F23" s="5"/>
      <c r="G23" s="7">
        <v>10924505</v>
      </c>
      <c r="H23" s="7">
        <v>11303793</v>
      </c>
      <c r="I23" s="7">
        <v>9366210</v>
      </c>
      <c r="J23" s="7">
        <v>9894759</v>
      </c>
      <c r="K23" s="7">
        <v>10525343</v>
      </c>
      <c r="L23" s="7">
        <v>11303591</v>
      </c>
      <c r="M23" s="7">
        <v>12498109</v>
      </c>
      <c r="N23" s="7">
        <v>13517947</v>
      </c>
      <c r="O23" s="7">
        <v>14666234</v>
      </c>
      <c r="P23" s="7">
        <v>16703647</v>
      </c>
      <c r="Q23" s="7">
        <v>16178304</v>
      </c>
      <c r="R23" s="7">
        <v>19731737</v>
      </c>
      <c r="S23" s="7">
        <v>23099450</v>
      </c>
      <c r="T23" s="7">
        <v>23844158</v>
      </c>
      <c r="U23" s="7">
        <v>20390604</v>
      </c>
      <c r="V23" s="7">
        <v>20775888</v>
      </c>
      <c r="W23" s="7">
        <v>21478000</v>
      </c>
      <c r="X23" s="7">
        <v>23230000</v>
      </c>
    </row>
    <row r="24" spans="2:24" x14ac:dyDescent="0.25">
      <c r="D24" s="5"/>
      <c r="E24" s="5"/>
      <c r="F24" s="5"/>
    </row>
    <row r="25" spans="2:24" x14ac:dyDescent="0.25">
      <c r="B25" s="1" t="s">
        <v>15</v>
      </c>
      <c r="C25" s="1" t="s">
        <v>124</v>
      </c>
      <c r="D25" s="5"/>
      <c r="E25" s="5"/>
      <c r="F25" s="5"/>
      <c r="G25" s="3">
        <f t="shared" ref="G25:H25" si="8">+G14-G18-G22</f>
        <v>0</v>
      </c>
      <c r="H25" s="3">
        <f t="shared" si="8"/>
        <v>0</v>
      </c>
      <c r="I25" s="3">
        <f t="shared" ref="I25:X25" si="9">+I14-I18-I22</f>
        <v>0</v>
      </c>
      <c r="J25" s="3">
        <f t="shared" si="9"/>
        <v>0</v>
      </c>
      <c r="K25" s="3">
        <f t="shared" si="9"/>
        <v>0</v>
      </c>
      <c r="L25" s="3">
        <f t="shared" si="9"/>
        <v>0</v>
      </c>
      <c r="M25" s="3">
        <f t="shared" si="9"/>
        <v>0</v>
      </c>
      <c r="N25" s="3">
        <f t="shared" si="9"/>
        <v>0</v>
      </c>
      <c r="O25" s="3">
        <f t="shared" si="9"/>
        <v>0</v>
      </c>
      <c r="P25" s="3">
        <f t="shared" si="9"/>
        <v>0</v>
      </c>
      <c r="Q25" s="3">
        <f t="shared" si="9"/>
        <v>0</v>
      </c>
      <c r="R25" s="3">
        <f t="shared" si="9"/>
        <v>0</v>
      </c>
      <c r="S25" s="3">
        <f t="shared" si="9"/>
        <v>0</v>
      </c>
      <c r="T25" s="3">
        <f t="shared" si="9"/>
        <v>0</v>
      </c>
      <c r="U25" s="3">
        <f t="shared" si="9"/>
        <v>0</v>
      </c>
      <c r="V25" s="3">
        <f t="shared" si="9"/>
        <v>0</v>
      </c>
      <c r="W25" s="3">
        <f t="shared" si="9"/>
        <v>0</v>
      </c>
      <c r="X25" s="3">
        <f t="shared" si="9"/>
        <v>0</v>
      </c>
    </row>
    <row r="26" spans="2:24" x14ac:dyDescent="0.25">
      <c r="D26" s="5"/>
      <c r="E26" s="5"/>
      <c r="F26" s="5"/>
    </row>
    <row r="27" spans="2:24" x14ac:dyDescent="0.25">
      <c r="B27" s="9" t="s">
        <v>16</v>
      </c>
      <c r="C27" s="1" t="s">
        <v>124</v>
      </c>
      <c r="D27" s="5"/>
      <c r="E27" s="5"/>
      <c r="F27" s="5"/>
      <c r="G27" s="10">
        <f t="shared" ref="G27:H27" si="10">+G18+G22+G25</f>
        <v>15000105</v>
      </c>
      <c r="H27" s="10">
        <f t="shared" si="10"/>
        <v>15181628</v>
      </c>
      <c r="I27" s="10">
        <f t="shared" ref="I27:X27" si="11">+I18+I22+I25</f>
        <v>15471974</v>
      </c>
      <c r="J27" s="10">
        <f t="shared" si="11"/>
        <v>14655084</v>
      </c>
      <c r="K27" s="10">
        <f t="shared" si="11"/>
        <v>14890420</v>
      </c>
      <c r="L27" s="10">
        <f t="shared" si="11"/>
        <v>16448152</v>
      </c>
      <c r="M27" s="10">
        <f t="shared" si="11"/>
        <v>17950279</v>
      </c>
      <c r="N27" s="10">
        <f t="shared" si="11"/>
        <v>18992613</v>
      </c>
      <c r="O27" s="10">
        <f t="shared" si="11"/>
        <v>21240729</v>
      </c>
      <c r="P27" s="10">
        <f t="shared" si="11"/>
        <v>22538335</v>
      </c>
      <c r="Q27" s="10">
        <f t="shared" si="11"/>
        <v>25152593</v>
      </c>
      <c r="R27" s="10">
        <f t="shared" si="11"/>
        <v>26437186</v>
      </c>
      <c r="S27" s="10">
        <f t="shared" si="11"/>
        <v>30553874</v>
      </c>
      <c r="T27" s="10">
        <f t="shared" si="11"/>
        <v>36280904</v>
      </c>
      <c r="U27" s="10">
        <f t="shared" si="11"/>
        <v>37759422</v>
      </c>
      <c r="V27" s="10">
        <f t="shared" si="11"/>
        <v>34160550</v>
      </c>
      <c r="W27" s="10">
        <f t="shared" si="11"/>
        <v>33616000</v>
      </c>
      <c r="X27" s="10">
        <f t="shared" si="11"/>
        <v>35068000</v>
      </c>
    </row>
    <row r="28" spans="2:24" x14ac:dyDescent="0.25">
      <c r="D28" s="5"/>
      <c r="E28" s="5"/>
      <c r="F28" s="5"/>
    </row>
    <row r="29" spans="2:24" x14ac:dyDescent="0.25">
      <c r="B29" s="6" t="s">
        <v>42</v>
      </c>
      <c r="C29" s="6" t="s">
        <v>124</v>
      </c>
      <c r="D29" s="35"/>
      <c r="E29" s="35"/>
      <c r="F29" s="35"/>
      <c r="G29" s="51"/>
      <c r="H29" s="7">
        <f>+H22-G22</f>
        <v>370128</v>
      </c>
      <c r="I29" s="7">
        <f>+I22-H22</f>
        <v>-1937193</v>
      </c>
      <c r="J29" s="7">
        <f>+J22-I22</f>
        <v>529660</v>
      </c>
      <c r="K29" s="7">
        <f t="shared" ref="K29:X29" si="12">+K22-J22</f>
        <v>656965</v>
      </c>
      <c r="L29" s="7">
        <f t="shared" si="12"/>
        <v>772086</v>
      </c>
      <c r="M29" s="7">
        <f t="shared" si="12"/>
        <v>1194901</v>
      </c>
      <c r="N29" s="7">
        <f t="shared" si="12"/>
        <v>1039289</v>
      </c>
      <c r="O29" s="7">
        <f t="shared" si="12"/>
        <v>1313422</v>
      </c>
      <c r="P29" s="7">
        <f t="shared" si="12"/>
        <v>2033445</v>
      </c>
      <c r="Q29" s="7">
        <f t="shared" si="12"/>
        <v>-527561</v>
      </c>
      <c r="R29" s="7">
        <f t="shared" si="12"/>
        <v>3566797</v>
      </c>
      <c r="S29" s="7">
        <f t="shared" si="12"/>
        <v>3387553</v>
      </c>
      <c r="T29" s="7">
        <f t="shared" si="12"/>
        <v>742398</v>
      </c>
      <c r="U29" s="7">
        <f t="shared" si="12"/>
        <v>-3499021</v>
      </c>
      <c r="V29" s="7">
        <f t="shared" si="12"/>
        <v>392145</v>
      </c>
      <c r="W29" s="7">
        <f t="shared" si="12"/>
        <v>692121</v>
      </c>
      <c r="X29" s="7">
        <f t="shared" si="12"/>
        <v>1750000</v>
      </c>
    </row>
    <row r="30" spans="2:24" x14ac:dyDescent="0.25">
      <c r="B30" s="6" t="s">
        <v>43</v>
      </c>
      <c r="C30" s="6" t="s">
        <v>124</v>
      </c>
      <c r="D30" s="35"/>
      <c r="E30" s="35"/>
      <c r="F30" s="35"/>
      <c r="G30" s="51"/>
      <c r="H30" s="7">
        <f>+H43</f>
        <v>704922</v>
      </c>
      <c r="I30" s="7">
        <f t="shared" ref="I30:X30" si="13">+I43</f>
        <v>586137</v>
      </c>
      <c r="J30" s="7">
        <f t="shared" si="13"/>
        <v>465686</v>
      </c>
      <c r="K30" s="7">
        <f t="shared" si="13"/>
        <v>571816</v>
      </c>
      <c r="L30" s="7">
        <f t="shared" si="13"/>
        <v>829120</v>
      </c>
      <c r="M30" s="7">
        <f t="shared" si="13"/>
        <v>1574158</v>
      </c>
      <c r="N30" s="7">
        <f t="shared" si="13"/>
        <v>1048376</v>
      </c>
      <c r="O30" s="7">
        <f t="shared" si="13"/>
        <v>1278770</v>
      </c>
      <c r="P30" s="7">
        <f t="shared" si="13"/>
        <v>2032213</v>
      </c>
      <c r="Q30" s="7">
        <f t="shared" si="13"/>
        <v>2284107</v>
      </c>
      <c r="R30" s="7">
        <f t="shared" si="13"/>
        <v>3196696</v>
      </c>
      <c r="S30" s="7">
        <f t="shared" si="13"/>
        <v>3550987</v>
      </c>
      <c r="T30" s="7">
        <f t="shared" si="13"/>
        <v>1373025</v>
      </c>
      <c r="U30" s="7">
        <f t="shared" si="13"/>
        <v>1341816</v>
      </c>
      <c r="V30" s="7">
        <f t="shared" si="13"/>
        <v>1228954</v>
      </c>
      <c r="W30" s="7">
        <f t="shared" si="13"/>
        <v>859205</v>
      </c>
      <c r="X30" s="7">
        <f t="shared" si="13"/>
        <v>1100000</v>
      </c>
    </row>
    <row r="31" spans="2:24" x14ac:dyDescent="0.25">
      <c r="B31" s="52" t="s">
        <v>44</v>
      </c>
      <c r="C31" s="52" t="s">
        <v>124</v>
      </c>
      <c r="D31" s="50"/>
      <c r="E31" s="50"/>
      <c r="F31" s="50"/>
      <c r="G31" s="53"/>
      <c r="H31" s="54">
        <v>0</v>
      </c>
      <c r="I31" s="54">
        <f>-J50*J48*1000</f>
        <v>-2336000</v>
      </c>
      <c r="J31" s="54">
        <v>0</v>
      </c>
      <c r="K31" s="54">
        <v>0</v>
      </c>
      <c r="L31" s="54">
        <v>0</v>
      </c>
      <c r="M31" s="54">
        <f>-N50*N48*1000</f>
        <v>-600000</v>
      </c>
      <c r="N31" s="54">
        <v>0</v>
      </c>
      <c r="O31" s="54">
        <v>0</v>
      </c>
      <c r="P31" s="54">
        <v>0</v>
      </c>
      <c r="Q31" s="54">
        <f>-R50*R48*1000</f>
        <v>-2980000</v>
      </c>
      <c r="R31" s="54">
        <v>0</v>
      </c>
      <c r="S31" s="54">
        <v>0</v>
      </c>
      <c r="T31" s="54">
        <v>0</v>
      </c>
      <c r="U31" s="54">
        <f>-V50*V48*1000</f>
        <v>-5668000</v>
      </c>
      <c r="V31" s="54">
        <v>0</v>
      </c>
      <c r="W31" s="54">
        <v>0</v>
      </c>
      <c r="X31" s="54">
        <v>0</v>
      </c>
    </row>
    <row r="32" spans="2:24" x14ac:dyDescent="0.25">
      <c r="B32" s="52" t="s">
        <v>164</v>
      </c>
      <c r="C32" s="52" t="s">
        <v>124</v>
      </c>
      <c r="D32" s="50"/>
      <c r="E32" s="50"/>
      <c r="F32" s="50"/>
      <c r="G32" s="53"/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f>(+P48-O48)*5.47*1000</f>
        <v>0</v>
      </c>
      <c r="Q32" s="54">
        <v>0</v>
      </c>
      <c r="R32" s="54">
        <f>(+R48-Q48)*5.47*1000</f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</row>
    <row r="33" spans="2:27" x14ac:dyDescent="0.25">
      <c r="B33" s="52" t="s">
        <v>45</v>
      </c>
      <c r="C33" s="52" t="s">
        <v>124</v>
      </c>
      <c r="D33" s="50"/>
      <c r="E33" s="50"/>
      <c r="F33" s="50"/>
      <c r="G33" s="53"/>
      <c r="H33" s="54">
        <f>+H29-H30-H31-H32</f>
        <v>-334794</v>
      </c>
      <c r="I33" s="54">
        <f t="shared" ref="I33:X33" si="14">+I29-I30-I31-I32</f>
        <v>-187330</v>
      </c>
      <c r="J33" s="54">
        <f t="shared" si="14"/>
        <v>63974</v>
      </c>
      <c r="K33" s="54">
        <f t="shared" si="14"/>
        <v>85149</v>
      </c>
      <c r="L33" s="54">
        <f t="shared" si="14"/>
        <v>-57034</v>
      </c>
      <c r="M33" s="54">
        <f t="shared" si="14"/>
        <v>220743</v>
      </c>
      <c r="N33" s="54">
        <f t="shared" si="14"/>
        <v>-9087</v>
      </c>
      <c r="O33" s="54">
        <f t="shared" si="14"/>
        <v>34652</v>
      </c>
      <c r="P33" s="54">
        <f t="shared" si="14"/>
        <v>1232</v>
      </c>
      <c r="Q33" s="54">
        <f t="shared" si="14"/>
        <v>168332</v>
      </c>
      <c r="R33" s="54">
        <f t="shared" si="14"/>
        <v>370101</v>
      </c>
      <c r="S33" s="54">
        <f t="shared" si="14"/>
        <v>-163434</v>
      </c>
      <c r="T33" s="54">
        <f t="shared" si="14"/>
        <v>-630627</v>
      </c>
      <c r="U33" s="54">
        <f t="shared" si="14"/>
        <v>827163</v>
      </c>
      <c r="V33" s="54">
        <f t="shared" si="14"/>
        <v>-836809</v>
      </c>
      <c r="W33" s="54">
        <f t="shared" si="14"/>
        <v>-167084</v>
      </c>
      <c r="X33" s="54">
        <f t="shared" si="14"/>
        <v>650000</v>
      </c>
    </row>
    <row r="34" spans="2:27" x14ac:dyDescent="0.25">
      <c r="C34" s="5"/>
      <c r="D34" s="5"/>
      <c r="E34" s="5"/>
      <c r="F34" s="5"/>
    </row>
    <row r="35" spans="2:27" ht="30" x14ac:dyDescent="0.25">
      <c r="B35" s="12" t="s">
        <v>24</v>
      </c>
      <c r="C35" s="32"/>
      <c r="D35" s="32"/>
      <c r="E35" s="32"/>
      <c r="F35" s="32"/>
      <c r="K35" s="21"/>
      <c r="M35" s="21"/>
      <c r="O35" s="21"/>
      <c r="P35" s="21"/>
      <c r="S35" s="21"/>
      <c r="T35" s="21"/>
      <c r="W35" s="21"/>
      <c r="Z35" s="37">
        <v>2008</v>
      </c>
      <c r="AA35" s="40" t="s">
        <v>135</v>
      </c>
    </row>
    <row r="36" spans="2:27" x14ac:dyDescent="0.25">
      <c r="D36" s="5"/>
      <c r="E36" s="5"/>
      <c r="F36" s="5"/>
    </row>
    <row r="37" spans="2:27" x14ac:dyDescent="0.25">
      <c r="B37" s="1" t="s">
        <v>2</v>
      </c>
      <c r="C37" s="1" t="s">
        <v>124</v>
      </c>
      <c r="D37" s="38">
        <f>+K128*Z37</f>
        <v>2965009.5744555346</v>
      </c>
      <c r="E37" s="38">
        <f>+K129*Z37</f>
        <v>3368990.5050491821</v>
      </c>
      <c r="F37" s="38">
        <f>+K130*Z37</f>
        <v>3273054.229429828</v>
      </c>
      <c r="G37" s="38">
        <f>+K131*Z37</f>
        <v>3047830.6910654553</v>
      </c>
      <c r="H37" s="3">
        <v>2619934</v>
      </c>
      <c r="I37" s="3">
        <f>5611914-H37</f>
        <v>2991980</v>
      </c>
      <c r="J37" s="3">
        <f>8518111-I37-H37</f>
        <v>2906197</v>
      </c>
      <c r="K37" s="3">
        <f>12119910-J37-I37-H37</f>
        <v>3601799</v>
      </c>
      <c r="L37" s="3">
        <v>3599730</v>
      </c>
      <c r="M37" s="3">
        <f>7811777-L37</f>
        <v>4212047</v>
      </c>
      <c r="N37" s="3">
        <f>12108012-M37-L37</f>
        <v>4296235</v>
      </c>
      <c r="O37" s="3">
        <f>16766504-N37-M37-L37</f>
        <v>4658492</v>
      </c>
      <c r="P37" s="3">
        <v>5346540</v>
      </c>
      <c r="Q37" s="3">
        <f>11221172-P37</f>
        <v>5874632</v>
      </c>
      <c r="R37" s="3">
        <f>16741745-Q37-P37</f>
        <v>5520573</v>
      </c>
      <c r="S37" s="3">
        <f>22107230-R37-Q37-P37</f>
        <v>5365485</v>
      </c>
      <c r="T37" s="3">
        <v>6107812</v>
      </c>
      <c r="U37" s="3">
        <f>13111244-T37</f>
        <v>7003432</v>
      </c>
      <c r="V37" s="3">
        <f>19898467-U37-T37</f>
        <v>6787223</v>
      </c>
      <c r="W37" s="3">
        <f>26705000-V37-U37-T37</f>
        <v>6806533</v>
      </c>
      <c r="X37" s="3">
        <v>6520000</v>
      </c>
      <c r="Z37" s="3">
        <v>12654885</v>
      </c>
      <c r="AA37" s="3">
        <f t="shared" ref="AA37:AA44" si="15">SUM(D37:G37)</f>
        <v>12654885</v>
      </c>
    </row>
    <row r="38" spans="2:27" ht="30" x14ac:dyDescent="0.25">
      <c r="B38" s="13" t="s">
        <v>18</v>
      </c>
      <c r="C38" s="13" t="s">
        <v>124</v>
      </c>
      <c r="D38" s="38">
        <f>+Z38*K138</f>
        <v>2373947.4971054611</v>
      </c>
      <c r="E38" s="38">
        <f>+Z38*K139</f>
        <v>2663042.7579384008</v>
      </c>
      <c r="F38" s="38">
        <f>+Z38*K140</f>
        <v>2530824.2729210025</v>
      </c>
      <c r="G38" s="38">
        <f>+Z38*K141</f>
        <v>1900708.4720351356</v>
      </c>
      <c r="H38" s="3">
        <f>+H37-H39</f>
        <v>1785890</v>
      </c>
      <c r="I38" s="3">
        <f t="shared" ref="I38:X38" si="16">+I37-I39</f>
        <v>2367453</v>
      </c>
      <c r="J38" s="3">
        <f t="shared" si="16"/>
        <v>2418190</v>
      </c>
      <c r="K38" s="3">
        <f t="shared" si="16"/>
        <v>2869039</v>
      </c>
      <c r="L38" s="3">
        <f t="shared" si="16"/>
        <v>2652826</v>
      </c>
      <c r="M38" s="3">
        <f t="shared" ref="M38" si="17">+M37-M39</f>
        <v>2361555</v>
      </c>
      <c r="N38" s="3">
        <f t="shared" ref="N38" si="18">+N37-N39</f>
        <v>3099433</v>
      </c>
      <c r="O38" s="3">
        <f t="shared" ref="O38" si="19">+O37-O39</f>
        <v>3146381</v>
      </c>
      <c r="P38" s="3">
        <f t="shared" si="16"/>
        <v>2888580</v>
      </c>
      <c r="Q38" s="3">
        <f t="shared" ref="Q38" si="20">+Q37-Q39</f>
        <v>3231586</v>
      </c>
      <c r="R38" s="3">
        <f t="shared" ref="R38" si="21">+R37-R39</f>
        <v>1836018</v>
      </c>
      <c r="S38" s="3">
        <f t="shared" ref="S38" si="22">+S37-S39</f>
        <v>997397</v>
      </c>
      <c r="T38" s="3">
        <f t="shared" si="16"/>
        <v>4351198</v>
      </c>
      <c r="U38" s="3">
        <f t="shared" ref="U38" si="23">+U37-U39</f>
        <v>5140087</v>
      </c>
      <c r="V38" s="3">
        <f t="shared" ref="V38" si="24">+V37-V39</f>
        <v>5096599</v>
      </c>
      <c r="W38" s="3">
        <f t="shared" ref="W38" si="25">+W37-W39</f>
        <v>5523116</v>
      </c>
      <c r="X38" s="3">
        <f t="shared" si="16"/>
        <v>4892000</v>
      </c>
      <c r="Z38" s="3">
        <f>+Z37-Z39</f>
        <v>9468523</v>
      </c>
      <c r="AA38" s="3">
        <f t="shared" si="15"/>
        <v>9468523</v>
      </c>
    </row>
    <row r="39" spans="2:27" x14ac:dyDescent="0.25">
      <c r="B39" s="13" t="s">
        <v>20</v>
      </c>
      <c r="C39" s="13" t="s">
        <v>124</v>
      </c>
      <c r="D39" s="38">
        <f t="shared" ref="D39:F39" si="26">+D37-D38</f>
        <v>591062.07735007349</v>
      </c>
      <c r="E39" s="38">
        <f t="shared" si="26"/>
        <v>705947.74711078126</v>
      </c>
      <c r="F39" s="38">
        <f t="shared" si="26"/>
        <v>742229.95650882553</v>
      </c>
      <c r="G39" s="38">
        <f>+G37-G38</f>
        <v>1147122.2190303197</v>
      </c>
      <c r="H39" s="3">
        <v>834044</v>
      </c>
      <c r="I39" s="3">
        <f>1458571-H39</f>
        <v>624527</v>
      </c>
      <c r="J39" s="3">
        <f>1946578-I39-H39</f>
        <v>488007</v>
      </c>
      <c r="K39" s="3">
        <f>2679338-J39-I39-H39</f>
        <v>732760</v>
      </c>
      <c r="L39" s="3">
        <v>946904</v>
      </c>
      <c r="M39" s="3">
        <f>2797396-L39</f>
        <v>1850492</v>
      </c>
      <c r="N39" s="3">
        <f>3994198-M39-L39</f>
        <v>1196802</v>
      </c>
      <c r="O39" s="3">
        <f>5506309-N39-M39-L39</f>
        <v>1512111</v>
      </c>
      <c r="P39" s="3">
        <v>2457960</v>
      </c>
      <c r="Q39" s="3">
        <f>5101006-P39</f>
        <v>2643046</v>
      </c>
      <c r="R39" s="3">
        <f>8785561-Q39-P39</f>
        <v>3684555</v>
      </c>
      <c r="S39" s="3">
        <f>13153649-R39-Q39-P39</f>
        <v>4368088</v>
      </c>
      <c r="T39" s="3">
        <v>1756614</v>
      </c>
      <c r="U39" s="3">
        <f>3619959-T39</f>
        <v>1863345</v>
      </c>
      <c r="V39" s="3">
        <f>5310583-U39-T39</f>
        <v>1690624</v>
      </c>
      <c r="W39" s="3">
        <f>6594000-V39-U39-T39</f>
        <v>1283417</v>
      </c>
      <c r="X39" s="3">
        <v>1628000</v>
      </c>
      <c r="Z39" s="3">
        <v>3186362</v>
      </c>
      <c r="AA39" s="3">
        <f t="shared" si="15"/>
        <v>3186362</v>
      </c>
    </row>
    <row r="40" spans="2:27" ht="30" x14ac:dyDescent="0.25">
      <c r="B40" s="13" t="s">
        <v>17</v>
      </c>
      <c r="C40" s="13" t="s">
        <v>124</v>
      </c>
      <c r="D40" s="38">
        <f>+K148*Z40</f>
        <v>59945.797452858547</v>
      </c>
      <c r="E40" s="38">
        <f>+K149*Z40</f>
        <v>100794.7494168923</v>
      </c>
      <c r="F40" s="38">
        <f>+K150*Z40</f>
        <v>41933.672146168617</v>
      </c>
      <c r="G40" s="38">
        <f>+K151*Z40</f>
        <v>7410.7809840805503</v>
      </c>
      <c r="H40" s="3">
        <f>+H41-H39</f>
        <v>35565</v>
      </c>
      <c r="I40" s="3">
        <f t="shared" ref="I40:X40" si="27">+I41-I39</f>
        <v>83185</v>
      </c>
      <c r="J40" s="3">
        <f t="shared" si="27"/>
        <v>73180</v>
      </c>
      <c r="K40" s="3">
        <f t="shared" si="27"/>
        <v>2274</v>
      </c>
      <c r="L40" s="3">
        <f t="shared" si="27"/>
        <v>59541</v>
      </c>
      <c r="M40" s="3">
        <f t="shared" ref="M40" si="28">+M41-M39</f>
        <v>71491</v>
      </c>
      <c r="N40" s="3">
        <f t="shared" ref="N40" si="29">+N41-N39</f>
        <v>79195</v>
      </c>
      <c r="O40" s="3">
        <f t="shared" ref="O40" si="30">+O41-O39</f>
        <v>26235</v>
      </c>
      <c r="P40" s="3">
        <f t="shared" si="27"/>
        <v>53770</v>
      </c>
      <c r="Q40" s="3">
        <f t="shared" ref="Q40" si="31">+Q41-Q39</f>
        <v>112220</v>
      </c>
      <c r="R40" s="3">
        <f t="shared" ref="R40" si="32">+R41-R39</f>
        <v>-13401</v>
      </c>
      <c r="S40" s="3">
        <f t="shared" ref="S40" si="33">+S41-S39</f>
        <v>-16565</v>
      </c>
      <c r="T40" s="3">
        <f t="shared" si="27"/>
        <v>-20056</v>
      </c>
      <c r="U40" s="3">
        <f t="shared" ref="U40" si="34">+U41-U39</f>
        <v>-50294</v>
      </c>
      <c r="V40" s="3">
        <f t="shared" ref="V40" si="35">+V41-V39</f>
        <v>-48861</v>
      </c>
      <c r="W40" s="3">
        <f t="shared" ref="W40" si="36">+W41-W39</f>
        <v>-26789</v>
      </c>
      <c r="X40" s="3">
        <f t="shared" si="27"/>
        <v>-76000</v>
      </c>
      <c r="Z40" s="3">
        <f>+Z41-Z39</f>
        <v>210085</v>
      </c>
      <c r="AA40" s="3">
        <f t="shared" si="15"/>
        <v>210085</v>
      </c>
    </row>
    <row r="41" spans="2:27" x14ac:dyDescent="0.25">
      <c r="B41" s="1" t="s">
        <v>0</v>
      </c>
      <c r="C41" s="1" t="s">
        <v>124</v>
      </c>
      <c r="D41" s="38">
        <f>+D39+D40</f>
        <v>651007.87480293203</v>
      </c>
      <c r="E41" s="38">
        <f t="shared" ref="E41:G41" si="37">+E39+E40</f>
        <v>806742.49652767356</v>
      </c>
      <c r="F41" s="38">
        <f t="shared" si="37"/>
        <v>784163.62865499419</v>
      </c>
      <c r="G41" s="38">
        <f t="shared" si="37"/>
        <v>1154533.0000144003</v>
      </c>
      <c r="H41" s="3">
        <v>869609</v>
      </c>
      <c r="I41" s="3">
        <f>1577321-H41</f>
        <v>707712</v>
      </c>
      <c r="J41" s="3">
        <f>2138508-I41-H41</f>
        <v>561187</v>
      </c>
      <c r="K41" s="3">
        <f>2873542-J41-I41-H41</f>
        <v>735034</v>
      </c>
      <c r="L41" s="3">
        <v>1006445</v>
      </c>
      <c r="M41" s="3">
        <f>2928428-L41</f>
        <v>1921983</v>
      </c>
      <c r="N41" s="3">
        <f>4204425-M41-L41</f>
        <v>1275997</v>
      </c>
      <c r="O41" s="3">
        <f>5742771-N41-M41-L41</f>
        <v>1538346</v>
      </c>
      <c r="P41" s="3">
        <v>2511730</v>
      </c>
      <c r="Q41" s="3">
        <f>5266996-P41</f>
        <v>2755266</v>
      </c>
      <c r="R41" s="3">
        <f>8938150-Q41-P41</f>
        <v>3671154</v>
      </c>
      <c r="S41" s="3">
        <f>13289673-R41-Q41-P41</f>
        <v>4351523</v>
      </c>
      <c r="T41" s="3">
        <v>1736558</v>
      </c>
      <c r="U41" s="3">
        <f>3549609-T41</f>
        <v>1813051</v>
      </c>
      <c r="V41" s="3">
        <f>5191372-U41-T41</f>
        <v>1641763</v>
      </c>
      <c r="W41" s="3">
        <f>6448000-V41-U41-T41</f>
        <v>1256628</v>
      </c>
      <c r="X41" s="3">
        <v>1552000</v>
      </c>
      <c r="Z41" s="3">
        <v>3396447</v>
      </c>
      <c r="AA41" s="3">
        <f t="shared" si="15"/>
        <v>3396447</v>
      </c>
    </row>
    <row r="42" spans="2:27" x14ac:dyDescent="0.25">
      <c r="B42" s="16" t="s">
        <v>19</v>
      </c>
      <c r="C42" s="13" t="s">
        <v>124</v>
      </c>
      <c r="D42" s="38">
        <f>+Z42*K158</f>
        <v>137408.83760833167</v>
      </c>
      <c r="E42" s="38">
        <f>+Z42*K159</f>
        <v>163698.584953713</v>
      </c>
      <c r="F42" s="38">
        <f>+Z42*K160</f>
        <v>140345.52246541614</v>
      </c>
      <c r="G42" s="39">
        <f>+Z42*K161</f>
        <v>189128.05497253919</v>
      </c>
      <c r="H42" s="14">
        <f>+H41-H43</f>
        <v>164687</v>
      </c>
      <c r="I42" s="14">
        <f t="shared" ref="I42:X42" si="38">+I41-I43</f>
        <v>121575</v>
      </c>
      <c r="J42" s="14">
        <f t="shared" si="38"/>
        <v>95501</v>
      </c>
      <c r="K42" s="14">
        <f t="shared" si="38"/>
        <v>163218</v>
      </c>
      <c r="L42" s="14">
        <f t="shared" si="38"/>
        <v>177325</v>
      </c>
      <c r="M42" s="14">
        <f t="shared" ref="M42" si="39">+M41-M43</f>
        <v>347825</v>
      </c>
      <c r="N42" s="14">
        <f t="shared" ref="N42" si="40">+N41-N43</f>
        <v>227621</v>
      </c>
      <c r="O42" s="14">
        <f t="shared" ref="O42" si="41">+O41-O43</f>
        <v>259576</v>
      </c>
      <c r="P42" s="14">
        <f t="shared" si="38"/>
        <v>479517</v>
      </c>
      <c r="Q42" s="14">
        <f t="shared" ref="Q42" si="42">+Q41-Q43</f>
        <v>471159</v>
      </c>
      <c r="R42" s="14">
        <f t="shared" ref="R42" si="43">+R41-R43</f>
        <v>474458</v>
      </c>
      <c r="S42" s="14">
        <f t="shared" ref="S42" si="44">+S41-S43</f>
        <v>800536</v>
      </c>
      <c r="T42" s="14">
        <f t="shared" si="38"/>
        <v>363533</v>
      </c>
      <c r="U42" s="14">
        <f t="shared" ref="U42" si="45">+U41-U43</f>
        <v>471235</v>
      </c>
      <c r="V42" s="14">
        <f t="shared" ref="V42" si="46">+V41-V43</f>
        <v>412809</v>
      </c>
      <c r="W42" s="14">
        <f t="shared" ref="W42" si="47">+W41-W43</f>
        <v>397423</v>
      </c>
      <c r="X42" s="14">
        <f t="shared" si="38"/>
        <v>452000</v>
      </c>
      <c r="Z42" s="3">
        <f>+Z41-Z43</f>
        <v>630581</v>
      </c>
      <c r="AA42" s="3">
        <f t="shared" si="15"/>
        <v>630581</v>
      </c>
    </row>
    <row r="43" spans="2:27" x14ac:dyDescent="0.25">
      <c r="B43" s="1" t="s">
        <v>1</v>
      </c>
      <c r="C43" s="1" t="s">
        <v>124</v>
      </c>
      <c r="D43" s="38">
        <f t="shared" ref="D43:F43" si="48">+D41-D42</f>
        <v>513599.03719460033</v>
      </c>
      <c r="E43" s="38">
        <f t="shared" si="48"/>
        <v>643043.91157396056</v>
      </c>
      <c r="F43" s="38">
        <f t="shared" si="48"/>
        <v>643818.10618957807</v>
      </c>
      <c r="G43" s="38">
        <f>+G41-G42</f>
        <v>965404.94504186115</v>
      </c>
      <c r="H43" s="3">
        <v>704922</v>
      </c>
      <c r="I43" s="3">
        <f>1291059-H43</f>
        <v>586137</v>
      </c>
      <c r="J43" s="3">
        <f>1756745-I43-H43</f>
        <v>465686</v>
      </c>
      <c r="K43" s="3">
        <f>2328561-J43-I43-H43</f>
        <v>571816</v>
      </c>
      <c r="L43" s="3">
        <v>829120</v>
      </c>
      <c r="M43" s="3">
        <f>2403278-L43</f>
        <v>1574158</v>
      </c>
      <c r="N43" s="3">
        <f>3451654-M43-L43</f>
        <v>1048376</v>
      </c>
      <c r="O43" s="3">
        <f>4730424-N43-M43-L43</f>
        <v>1278770</v>
      </c>
      <c r="P43" s="3">
        <v>2032213</v>
      </c>
      <c r="Q43" s="3">
        <f>4316320-P43</f>
        <v>2284107</v>
      </c>
      <c r="R43" s="3">
        <f>7513016-Q43-P43</f>
        <v>3196696</v>
      </c>
      <c r="S43" s="3">
        <f>11064003-R43-Q43-P43</f>
        <v>3550987</v>
      </c>
      <c r="T43" s="3">
        <v>1373025</v>
      </c>
      <c r="U43" s="3">
        <f>2714841-T43</f>
        <v>1341816</v>
      </c>
      <c r="V43" s="3">
        <f>3943795-U43-T43</f>
        <v>1228954</v>
      </c>
      <c r="W43" s="3">
        <f>4803000-V43-U43-T43</f>
        <v>859205</v>
      </c>
      <c r="X43" s="3">
        <v>1100000</v>
      </c>
      <c r="Z43" s="3">
        <v>2765866</v>
      </c>
      <c r="AA43" s="3">
        <f t="shared" si="15"/>
        <v>2765866</v>
      </c>
    </row>
    <row r="44" spans="2:27" ht="30" x14ac:dyDescent="0.25">
      <c r="B44" s="49" t="s">
        <v>162</v>
      </c>
      <c r="C44" s="1" t="s">
        <v>124</v>
      </c>
      <c r="D44" s="22">
        <f>+Z44*K168</f>
        <v>572196.41612655076</v>
      </c>
      <c r="E44" s="22">
        <f>+K169*Z44</f>
        <v>670670.748995804</v>
      </c>
      <c r="F44" s="22">
        <f>+K170*Z44</f>
        <v>688187.62831155839</v>
      </c>
      <c r="G44" s="22">
        <f>+K171*Z44</f>
        <v>835124.20656608685</v>
      </c>
      <c r="H44" s="3">
        <v>705356</v>
      </c>
      <c r="I44" s="3">
        <f>1291159-H44</f>
        <v>585803</v>
      </c>
      <c r="J44" s="3">
        <f>1755778-I44-H44</f>
        <v>464619</v>
      </c>
      <c r="K44" s="3">
        <f>2327993-J44-I44-H44</f>
        <v>572215</v>
      </c>
      <c r="L44" s="3">
        <v>826075</v>
      </c>
      <c r="M44" s="3">
        <f>2399850-L44</f>
        <v>1573775</v>
      </c>
      <c r="N44" s="3">
        <f>3447883-M44-L44</f>
        <v>1048033</v>
      </c>
      <c r="O44" s="3">
        <f>4724507-N44-M44-L44</f>
        <v>1276624</v>
      </c>
      <c r="P44" s="3">
        <v>2031325</v>
      </c>
      <c r="Q44" s="3">
        <f>4315554-P44</f>
        <v>2284229</v>
      </c>
      <c r="R44" s="3">
        <f>7509838-Q44-P44</f>
        <v>3194284</v>
      </c>
      <c r="S44" s="3">
        <f>11063456-R44-Q44-P44</f>
        <v>3553618</v>
      </c>
      <c r="T44" s="3">
        <v>1372664</v>
      </c>
      <c r="U44" s="3">
        <f>2713657-T44</f>
        <v>1340993</v>
      </c>
      <c r="V44" s="3">
        <f>3942201-U44-T44</f>
        <v>1228544</v>
      </c>
      <c r="W44" s="3">
        <f>4802000-V44-U44-T44</f>
        <v>859799</v>
      </c>
      <c r="X44" s="3">
        <v>1103000</v>
      </c>
      <c r="Z44" s="3">
        <v>2766179</v>
      </c>
      <c r="AA44" s="3">
        <f t="shared" si="15"/>
        <v>2766179</v>
      </c>
    </row>
    <row r="45" spans="2:27" x14ac:dyDescent="0.25">
      <c r="B45" s="5"/>
      <c r="C45" s="5"/>
      <c r="D45" s="5"/>
      <c r="E45" s="5"/>
      <c r="F45" s="5"/>
      <c r="G45" s="15"/>
      <c r="H45" s="15"/>
    </row>
    <row r="46" spans="2:27" x14ac:dyDescent="0.25">
      <c r="B46" s="17" t="s">
        <v>22</v>
      </c>
      <c r="C46" s="33"/>
      <c r="D46" s="33"/>
      <c r="E46" s="33"/>
      <c r="F46" s="33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2:27" x14ac:dyDescent="0.25">
      <c r="B47" s="5"/>
      <c r="C47" s="5"/>
      <c r="D47" s="5"/>
      <c r="E47" s="5"/>
      <c r="F47" s="5"/>
      <c r="G47" s="15"/>
      <c r="H47" s="15"/>
    </row>
    <row r="48" spans="2:27" x14ac:dyDescent="0.25">
      <c r="B48" s="1" t="s">
        <v>127</v>
      </c>
      <c r="C48" s="1" t="s">
        <v>126</v>
      </c>
      <c r="D48" s="5"/>
      <c r="E48" s="5"/>
      <c r="F48" s="5"/>
      <c r="G48" s="4">
        <v>200</v>
      </c>
      <c r="H48" s="4">
        <v>200</v>
      </c>
      <c r="I48" s="4">
        <v>200</v>
      </c>
      <c r="J48" s="4">
        <v>200</v>
      </c>
      <c r="K48" s="4">
        <v>200</v>
      </c>
      <c r="L48" s="4">
        <v>200</v>
      </c>
      <c r="M48" s="4">
        <v>200</v>
      </c>
      <c r="N48" s="4">
        <v>200</v>
      </c>
      <c r="O48" s="4">
        <v>200</v>
      </c>
      <c r="P48" s="4">
        <v>200</v>
      </c>
      <c r="Q48" s="4">
        <v>200</v>
      </c>
      <c r="R48" s="4">
        <v>200</v>
      </c>
      <c r="S48" s="4">
        <v>200</v>
      </c>
      <c r="T48" s="4">
        <v>200</v>
      </c>
      <c r="U48" s="4">
        <v>200</v>
      </c>
      <c r="V48" s="4">
        <v>200</v>
      </c>
      <c r="W48" s="4">
        <v>200</v>
      </c>
      <c r="X48" s="4">
        <v>200</v>
      </c>
    </row>
    <row r="49" spans="2:24" x14ac:dyDescent="0.25">
      <c r="B49" s="6" t="s">
        <v>23</v>
      </c>
      <c r="C49" s="6" t="s">
        <v>128</v>
      </c>
      <c r="D49" s="35"/>
      <c r="E49" s="35"/>
      <c r="F49" s="35"/>
      <c r="G49" s="19">
        <f t="shared" ref="G49:X49" si="49">+(G20*1000)/(G48*1000000)</f>
        <v>10</v>
      </c>
      <c r="H49" s="19">
        <f t="shared" si="49"/>
        <v>10</v>
      </c>
      <c r="I49" s="19">
        <f t="shared" si="49"/>
        <v>10</v>
      </c>
      <c r="J49" s="19">
        <f t="shared" si="49"/>
        <v>10</v>
      </c>
      <c r="K49" s="19">
        <f t="shared" si="49"/>
        <v>10</v>
      </c>
      <c r="L49" s="19">
        <f t="shared" si="49"/>
        <v>10</v>
      </c>
      <c r="M49" s="19">
        <f t="shared" si="49"/>
        <v>10</v>
      </c>
      <c r="N49" s="19">
        <f t="shared" si="49"/>
        <v>10</v>
      </c>
      <c r="O49" s="19">
        <f t="shared" si="49"/>
        <v>10</v>
      </c>
      <c r="P49" s="19">
        <f t="shared" si="49"/>
        <v>10</v>
      </c>
      <c r="Q49" s="19">
        <f t="shared" si="49"/>
        <v>10</v>
      </c>
      <c r="R49" s="19">
        <f t="shared" si="49"/>
        <v>10</v>
      </c>
      <c r="S49" s="19">
        <f t="shared" si="49"/>
        <v>10</v>
      </c>
      <c r="T49" s="19">
        <f t="shared" si="49"/>
        <v>10</v>
      </c>
      <c r="U49" s="19">
        <f t="shared" si="49"/>
        <v>10</v>
      </c>
      <c r="V49" s="19">
        <f t="shared" si="49"/>
        <v>10</v>
      </c>
      <c r="W49" s="19">
        <f t="shared" si="49"/>
        <v>10</v>
      </c>
      <c r="X49" s="19">
        <f t="shared" si="49"/>
        <v>10</v>
      </c>
    </row>
    <row r="50" spans="2:24" x14ac:dyDescent="0.25">
      <c r="B50" s="28" t="s">
        <v>85</v>
      </c>
      <c r="C50" s="28" t="s">
        <v>150</v>
      </c>
      <c r="D50" s="36"/>
      <c r="E50" s="36"/>
      <c r="F50" s="36"/>
      <c r="G50" s="43">
        <v>9</v>
      </c>
      <c r="H50" s="43">
        <v>9</v>
      </c>
      <c r="I50" s="43">
        <v>9</v>
      </c>
      <c r="J50" s="25">
        <v>11.68</v>
      </c>
      <c r="K50" s="43">
        <v>11.68</v>
      </c>
      <c r="L50" s="43">
        <v>11.68</v>
      </c>
      <c r="M50" s="43">
        <v>11.68</v>
      </c>
      <c r="N50" s="25">
        <v>3</v>
      </c>
      <c r="O50" s="43">
        <v>3</v>
      </c>
      <c r="P50" s="43">
        <v>3</v>
      </c>
      <c r="Q50" s="43">
        <v>3</v>
      </c>
      <c r="R50" s="25">
        <v>14.9</v>
      </c>
      <c r="S50" s="43">
        <v>14.9</v>
      </c>
      <c r="T50" s="43">
        <v>14.9</v>
      </c>
      <c r="U50" s="43">
        <v>14.9</v>
      </c>
      <c r="V50" s="25">
        <v>28.34</v>
      </c>
      <c r="W50" s="43">
        <v>28.34</v>
      </c>
      <c r="X50" s="43">
        <v>28.34</v>
      </c>
    </row>
    <row r="51" spans="2:24" x14ac:dyDescent="0.25">
      <c r="D51" s="5"/>
      <c r="E51" s="5"/>
      <c r="F51" s="5"/>
    </row>
    <row r="52" spans="2:24" x14ac:dyDescent="0.25">
      <c r="B52" s="9" t="s">
        <v>56</v>
      </c>
      <c r="C52" s="11"/>
      <c r="D52" s="11"/>
      <c r="E52" s="11"/>
      <c r="F52" s="11"/>
    </row>
    <row r="53" spans="2:24" x14ac:dyDescent="0.25">
      <c r="D53" s="5"/>
      <c r="E53" s="5"/>
      <c r="F53" s="5"/>
    </row>
    <row r="54" spans="2:24" x14ac:dyDescent="0.25">
      <c r="B54" s="1" t="s">
        <v>55</v>
      </c>
      <c r="C54" s="1" t="s">
        <v>128</v>
      </c>
      <c r="D54" s="5"/>
      <c r="E54" s="5"/>
      <c r="F54" s="5"/>
      <c r="G54" s="41">
        <f>+[1]Sheet0!$E$129</f>
        <v>28.12</v>
      </c>
      <c r="H54" s="24">
        <f>+[1]Sheet0!$E$191</f>
        <v>45.69</v>
      </c>
      <c r="I54" s="24">
        <f>+[1]Sheet0!$E$252</f>
        <v>81.5</v>
      </c>
      <c r="J54" s="24">
        <f>+[1]Sheet0!$E$318</f>
        <v>86.4</v>
      </c>
      <c r="K54" s="24">
        <f>+[1]Sheet0!$E$381</f>
        <v>106</v>
      </c>
      <c r="L54" s="24">
        <f>+[1]Sheet0!$E$443</f>
        <v>106.9</v>
      </c>
      <c r="M54" s="24">
        <f>+[1]Sheet0!$E$505</f>
        <v>88.6</v>
      </c>
      <c r="N54" s="24">
        <f>+[1]Sheet0!$E$571</f>
        <v>117.3</v>
      </c>
      <c r="O54" s="24">
        <f>+[1]Sheet0!$E$634</f>
        <v>173</v>
      </c>
      <c r="P54" s="24">
        <f>+[1]Sheet0!$E$697</f>
        <v>180.2</v>
      </c>
      <c r="Q54" s="24">
        <f>+[1]Sheet0!$E$758</f>
        <v>197</v>
      </c>
      <c r="R54" s="24">
        <f>+[1]Sheet0!$E$823</f>
        <v>131</v>
      </c>
      <c r="S54" s="24">
        <f>+[1]Sheet0!$E$885</f>
        <v>110.6</v>
      </c>
      <c r="T54" s="24">
        <f>+[1]Sheet0!$E$949</f>
        <v>143.1</v>
      </c>
      <c r="U54" s="24">
        <f>+[1]Sheet0!$E$1009</f>
        <v>145</v>
      </c>
      <c r="V54" s="24">
        <f>+[1]Sheet0!$E$1072</f>
        <v>152.5</v>
      </c>
      <c r="W54" s="24">
        <f>+[1]Sheet0!$E$1133</f>
        <v>190</v>
      </c>
      <c r="X54" s="24">
        <f>+[1]Sheet0!$E$1195</f>
        <v>157.80000000000001</v>
      </c>
    </row>
    <row r="55" spans="2:24" x14ac:dyDescent="0.25">
      <c r="B55" s="28" t="s">
        <v>151</v>
      </c>
      <c r="C55" s="1" t="s">
        <v>128</v>
      </c>
      <c r="D55" s="5"/>
      <c r="E55" s="5"/>
      <c r="F55" s="5"/>
      <c r="G55" s="41" t="s">
        <v>155</v>
      </c>
      <c r="H55" s="41" t="s">
        <v>155</v>
      </c>
      <c r="I55" s="41">
        <f>+[1]Sheet0!$FR$252</f>
        <v>52.676679999999969</v>
      </c>
      <c r="J55" s="41">
        <f>+[1]Sheet0!$FR$318</f>
        <v>54.841314741035859</v>
      </c>
      <c r="K55" s="56">
        <f>+[1]Sheet0!$FR$381</f>
        <v>72.608611111111074</v>
      </c>
      <c r="L55" s="24">
        <f>+[1]Sheet0!$FR$443</f>
        <v>88.275793650793574</v>
      </c>
      <c r="M55" s="24">
        <f>+[1]Sheet0!$FR$505</f>
        <v>96.311264822134362</v>
      </c>
      <c r="N55" s="24">
        <f>+[1]Sheet0!$FR$571</f>
        <v>102.07667984189732</v>
      </c>
      <c r="O55" s="42">
        <f>+[1]Sheet0!$FR$634</f>
        <v>111.99683794466409</v>
      </c>
      <c r="P55" s="24">
        <f>+[1]Sheet0!$FR$697</f>
        <v>129.890157480315</v>
      </c>
      <c r="Q55" s="24">
        <f>+[1]Sheet0!$FR$758</f>
        <v>151.52411067193671</v>
      </c>
      <c r="R55" s="24">
        <f>+[1]Sheet0!$FR$823</f>
        <v>168.08452380952389</v>
      </c>
      <c r="S55" s="42">
        <f>+[1]Sheet0!$FR$885</f>
        <v>166.9450199203188</v>
      </c>
      <c r="T55" s="24">
        <f>+[1]Sheet0!$FR$949</f>
        <v>157.7182539682542</v>
      </c>
      <c r="U55" s="24">
        <f>+[1]Sheet0!$FR$1009</f>
        <v>144.71952191235053</v>
      </c>
      <c r="V55" s="24">
        <f>+[1]Sheet0!$FR$1072</f>
        <v>135.84457831325295</v>
      </c>
      <c r="W55" s="42">
        <f>+[1]Sheet0!$FR$1133</f>
        <v>144.59233870967751</v>
      </c>
      <c r="X55" s="24">
        <f>+[1]Sheet0!$FR$1195</f>
        <v>155.5272357723577</v>
      </c>
    </row>
    <row r="56" spans="2:24" x14ac:dyDescent="0.25">
      <c r="D56" s="5"/>
      <c r="E56" s="5"/>
      <c r="F56" s="5"/>
    </row>
    <row r="57" spans="2:24" x14ac:dyDescent="0.25">
      <c r="B57" s="9" t="s">
        <v>58</v>
      </c>
      <c r="C57" s="11"/>
      <c r="D57" s="11"/>
      <c r="E57" s="11"/>
      <c r="F57" s="11"/>
    </row>
    <row r="58" spans="2:24" x14ac:dyDescent="0.25">
      <c r="D58" s="5"/>
      <c r="E58" s="5"/>
      <c r="F58" s="5"/>
    </row>
    <row r="59" spans="2:24" x14ac:dyDescent="0.25">
      <c r="B59" s="1" t="s">
        <v>59</v>
      </c>
      <c r="C59" s="1" t="s">
        <v>129</v>
      </c>
      <c r="D59" s="5"/>
      <c r="E59" s="5"/>
      <c r="F59" s="5"/>
      <c r="G59" s="4">
        <f>+((+G10)/2)/((+G17)/2)</f>
        <v>2.7154110562109546</v>
      </c>
      <c r="H59" s="4">
        <f>+((+G10+H10)/2)/((+G17+H17)/2)</f>
        <v>2.7787430098006074</v>
      </c>
      <c r="I59" s="4">
        <f>+((+G10+I10)/2)/((+G17+I17)/2)</f>
        <v>1.8702091232011335</v>
      </c>
      <c r="J59" s="4">
        <f>+((+G10+J10)/2)/((+G17+J17)/2)</f>
        <v>2.1700792375131663</v>
      </c>
      <c r="K59" s="4">
        <f t="shared" ref="K59:X59" si="50">+((+G10+K10)/2)/((+G17+K17)/2)</f>
        <v>2.4553261545481795</v>
      </c>
      <c r="L59" s="4">
        <f t="shared" si="50"/>
        <v>2.523407534990838</v>
      </c>
      <c r="M59" s="4">
        <f t="shared" si="50"/>
        <v>1.7995447675797609</v>
      </c>
      <c r="N59" s="4">
        <f t="shared" si="50"/>
        <v>2.1940235409218025</v>
      </c>
      <c r="O59" s="4">
        <f t="shared" si="50"/>
        <v>2.4274850971204502</v>
      </c>
      <c r="P59" s="4">
        <f t="shared" si="50"/>
        <v>2.8097229891519206</v>
      </c>
      <c r="Q59" s="4">
        <f t="shared" si="50"/>
        <v>2.2186125908658201</v>
      </c>
      <c r="R59" s="4">
        <f t="shared" si="50"/>
        <v>3.4050696798179105</v>
      </c>
      <c r="S59" s="4">
        <f t="shared" si="50"/>
        <v>3.5114536226217914</v>
      </c>
      <c r="T59" s="4">
        <f t="shared" si="50"/>
        <v>3.0442609975552273</v>
      </c>
      <c r="U59" s="4">
        <f t="shared" si="50"/>
        <v>1.7899025317105866</v>
      </c>
      <c r="V59" s="4">
        <f t="shared" si="50"/>
        <v>2.6899359482050635</v>
      </c>
      <c r="W59" s="4">
        <f t="shared" si="50"/>
        <v>3.1002481438928604</v>
      </c>
      <c r="X59" s="4">
        <f t="shared" si="50"/>
        <v>2.711654804026026</v>
      </c>
    </row>
    <row r="60" spans="2:24" x14ac:dyDescent="0.25">
      <c r="B60" s="1" t="s">
        <v>60</v>
      </c>
      <c r="C60" s="1" t="s">
        <v>129</v>
      </c>
      <c r="D60" s="5"/>
      <c r="E60" s="5"/>
      <c r="F60" s="5"/>
      <c r="G60" s="4">
        <f>+((+G8)/2)/((G17)/2)</f>
        <v>0.95285326036819595</v>
      </c>
      <c r="H60" s="4">
        <f>+((+G8+H8)/2)/((+G17+H17)/2)</f>
        <v>1.045638852466878</v>
      </c>
      <c r="I60" s="4">
        <f>+((+G8+I8)/2)/((+G17+I17)/2)</f>
        <v>0.6977005330881193</v>
      </c>
      <c r="J60" s="4">
        <f>+((+G8+J8)/2)/((+G17+J17)/2)</f>
        <v>0.71344324526616676</v>
      </c>
      <c r="K60" s="4">
        <f t="shared" ref="K60:X60" si="51">+((+G8+K8)/2)/((+G17+K17)/2)</f>
        <v>0.72984713392893097</v>
      </c>
      <c r="L60" s="4">
        <f t="shared" si="51"/>
        <v>0.84686988987980172</v>
      </c>
      <c r="M60" s="4">
        <f t="shared" si="51"/>
        <v>0.65871906618878351</v>
      </c>
      <c r="N60" s="4">
        <f t="shared" si="51"/>
        <v>0.72299618568750756</v>
      </c>
      <c r="O60" s="4">
        <f t="shared" si="51"/>
        <v>0.75086816251364263</v>
      </c>
      <c r="P60" s="4">
        <f t="shared" si="51"/>
        <v>0.90389712380271336</v>
      </c>
      <c r="Q60" s="4">
        <f t="shared" si="51"/>
        <v>0.91657166239627086</v>
      </c>
      <c r="R60" s="4">
        <f t="shared" si="51"/>
        <v>1.4258329226612048</v>
      </c>
      <c r="S60" s="4">
        <f t="shared" si="51"/>
        <v>2.0877190836895929</v>
      </c>
      <c r="T60" s="4">
        <f t="shared" si="51"/>
        <v>1.3753342183474089</v>
      </c>
      <c r="U60" s="4">
        <f t="shared" si="51"/>
        <v>0.81567766513359596</v>
      </c>
      <c r="V60" s="4">
        <f t="shared" si="51"/>
        <v>1.0743737010349079</v>
      </c>
      <c r="W60" s="4">
        <f t="shared" si="51"/>
        <v>1.7221239709754257</v>
      </c>
      <c r="X60" s="4">
        <f t="shared" si="51"/>
        <v>1.0787367592764054</v>
      </c>
    </row>
    <row r="61" spans="2:24" x14ac:dyDescent="0.25">
      <c r="B61" s="1" t="s">
        <v>88</v>
      </c>
      <c r="C61" s="1" t="s">
        <v>124</v>
      </c>
      <c r="D61" s="5"/>
      <c r="E61" s="5"/>
      <c r="F61" s="5"/>
      <c r="G61" s="3">
        <f t="shared" ref="G61:X61" si="52">+G10-G17</f>
        <v>3718970</v>
      </c>
      <c r="H61" s="3">
        <f t="shared" si="52"/>
        <v>3884685</v>
      </c>
      <c r="I61" s="3">
        <f t="shared" si="52"/>
        <v>1933516</v>
      </c>
      <c r="J61" s="3">
        <f t="shared" si="52"/>
        <v>2249596</v>
      </c>
      <c r="K61" s="3">
        <f t="shared" si="52"/>
        <v>2787182</v>
      </c>
      <c r="L61" s="3">
        <f t="shared" si="52"/>
        <v>3440579</v>
      </c>
      <c r="M61" s="3">
        <f t="shared" si="52"/>
        <v>3904923</v>
      </c>
      <c r="N61" s="3">
        <f t="shared" si="52"/>
        <v>4545826</v>
      </c>
      <c r="O61" s="3">
        <f t="shared" si="52"/>
        <v>5357250</v>
      </c>
      <c r="P61" s="3">
        <f t="shared" si="52"/>
        <v>6712680</v>
      </c>
      <c r="Q61" s="3">
        <f t="shared" si="52"/>
        <v>7316498</v>
      </c>
      <c r="R61" s="3">
        <f t="shared" si="52"/>
        <v>11017618</v>
      </c>
      <c r="S61" s="3">
        <f t="shared" si="52"/>
        <v>14151669</v>
      </c>
      <c r="T61" s="3">
        <f t="shared" si="52"/>
        <v>9571852</v>
      </c>
      <c r="U61" s="3">
        <f t="shared" si="52"/>
        <v>5155623</v>
      </c>
      <c r="V61" s="3">
        <f t="shared" si="52"/>
        <v>5152017</v>
      </c>
      <c r="W61" s="3">
        <f t="shared" si="52"/>
        <v>5068000</v>
      </c>
      <c r="X61" s="3">
        <f t="shared" si="52"/>
        <v>6003000</v>
      </c>
    </row>
    <row r="62" spans="2:24" x14ac:dyDescent="0.25">
      <c r="B62" s="1" t="s">
        <v>137</v>
      </c>
      <c r="C62" s="1" t="s">
        <v>124</v>
      </c>
      <c r="D62" s="5"/>
      <c r="E62" s="5"/>
      <c r="F62" s="5"/>
      <c r="G62" s="3">
        <f>+((+G10+G10)/2)-((+G17+G17)/2)</f>
        <v>3718970</v>
      </c>
      <c r="H62" s="3">
        <f>+((+H10+G10)/2)-((+H17+G17)/2)</f>
        <v>3801827.5</v>
      </c>
      <c r="I62" s="3">
        <f>+((+I10+G10)/2)-((+I17+G17)/2)</f>
        <v>2826243</v>
      </c>
      <c r="J62" s="3">
        <f>+((+J10+G10)/2)-((+J17+G17)/2)</f>
        <v>2984283</v>
      </c>
      <c r="K62" s="3">
        <f t="shared" ref="K62:X62" si="53">+((+K10+G10)/2)-((+K17+G17)/2)</f>
        <v>3253076</v>
      </c>
      <c r="L62" s="3">
        <f t="shared" si="53"/>
        <v>3662632</v>
      </c>
      <c r="M62" s="3">
        <f t="shared" si="53"/>
        <v>2919219.5</v>
      </c>
      <c r="N62" s="3">
        <f t="shared" si="53"/>
        <v>3397711</v>
      </c>
      <c r="O62" s="3">
        <f t="shared" si="53"/>
        <v>4072216</v>
      </c>
      <c r="P62" s="3">
        <f t="shared" si="53"/>
        <v>5076629.5</v>
      </c>
      <c r="Q62" s="3">
        <f t="shared" si="53"/>
        <v>5610710.5</v>
      </c>
      <c r="R62" s="3">
        <f t="shared" si="53"/>
        <v>7781722</v>
      </c>
      <c r="S62" s="3">
        <f t="shared" si="53"/>
        <v>9754459.5</v>
      </c>
      <c r="T62" s="3">
        <f t="shared" si="53"/>
        <v>8142266</v>
      </c>
      <c r="U62" s="3">
        <f t="shared" si="53"/>
        <v>6236060.5</v>
      </c>
      <c r="V62" s="3">
        <f t="shared" si="53"/>
        <v>8084817.5</v>
      </c>
      <c r="W62" s="3">
        <f t="shared" si="53"/>
        <v>9609834.5</v>
      </c>
      <c r="X62" s="3">
        <f t="shared" si="53"/>
        <v>7787426</v>
      </c>
    </row>
    <row r="63" spans="2:24" x14ac:dyDescent="0.25">
      <c r="D63" s="5"/>
      <c r="E63" s="5"/>
      <c r="F63" s="5"/>
    </row>
    <row r="64" spans="2:24" x14ac:dyDescent="0.25">
      <c r="B64" s="9" t="s">
        <v>61</v>
      </c>
      <c r="C64" s="11"/>
      <c r="D64" s="11"/>
      <c r="E64" s="11"/>
      <c r="F64" s="11"/>
    </row>
    <row r="66" spans="2:24" ht="30" x14ac:dyDescent="0.25">
      <c r="B66" s="13" t="s">
        <v>62</v>
      </c>
      <c r="C66" s="13" t="s">
        <v>130</v>
      </c>
      <c r="D66" s="34"/>
      <c r="E66" s="34"/>
      <c r="F66" s="34"/>
      <c r="G66" s="3">
        <f>+((+G9+G9)/2)/(+G37+F37+E37+D37)*$E$204</f>
        <v>110.51487058159755</v>
      </c>
      <c r="H66" s="3">
        <f>+((+H9+G9)/2)/(+H37+G37+F37+E37)*$D$204</f>
        <v>109.8361750178109</v>
      </c>
      <c r="I66" s="3">
        <f>+((+I9+G9)/2)/(+I37+H37+G37+F37)*$D$204</f>
        <v>116.48028989348875</v>
      </c>
      <c r="J66" s="3">
        <f>+((+J9+G9)/2)/(+J37+I37+H37+G37)*$D$204</f>
        <v>117.24319222943296</v>
      </c>
      <c r="K66" s="3">
        <f t="shared" ref="K66:S66" si="54">+((+K9+G9)/2)/(+K37+J37+I37+H37)*$D$204</f>
        <v>116.15476435056037</v>
      </c>
      <c r="L66" s="3">
        <f t="shared" si="54"/>
        <v>112.3108751448315</v>
      </c>
      <c r="M66" s="3">
        <f t="shared" si="54"/>
        <v>106.16955415424533</v>
      </c>
      <c r="N66" s="3">
        <f t="shared" si="54"/>
        <v>97.255954416001572</v>
      </c>
      <c r="O66" s="3">
        <f t="shared" si="54"/>
        <v>104.1222199630883</v>
      </c>
      <c r="P66" s="3">
        <f t="shared" si="54"/>
        <v>105.40356010814705</v>
      </c>
      <c r="Q66" s="3">
        <f t="shared" si="54"/>
        <v>108.45181012751897</v>
      </c>
      <c r="R66" s="3">
        <f t="shared" si="54"/>
        <v>109.22450309779281</v>
      </c>
      <c r="S66" s="3">
        <f t="shared" si="54"/>
        <v>91.298912165838956</v>
      </c>
      <c r="T66" s="3">
        <f>+((+T9+P9)/2)/(+T37+S37+R37+Q37)*$E$204</f>
        <v>106.38725295605282</v>
      </c>
      <c r="U66" s="3">
        <f>+((+U9+Q9)/2)/(+U37+T37+S37+R37)*$E$204</f>
        <v>117.30450548149122</v>
      </c>
      <c r="V66" s="3">
        <f>+((+V9+R9)/2)/(+V37+U37+T37+S37)*$E$204</f>
        <v>111.97046206389247</v>
      </c>
      <c r="W66" s="3">
        <f>+((+W9+S9)/2)/(+W37+V37+U37+T37)*$E$204</f>
        <v>86.42157011795544</v>
      </c>
      <c r="X66" s="3">
        <f>+((+X9+T9)/2)/(+X37+W37+V37+U37)*$D$204</f>
        <v>99.997778069761509</v>
      </c>
    </row>
    <row r="67" spans="2:24" x14ac:dyDescent="0.25">
      <c r="B67" s="1" t="s">
        <v>63</v>
      </c>
      <c r="C67" s="1" t="s">
        <v>130</v>
      </c>
      <c r="D67" s="5"/>
      <c r="E67" s="5"/>
      <c r="F67" s="5"/>
      <c r="G67" s="3">
        <f>+((+G17+G17)/2)/(+G38+F38+E38+D38)*$E$204</f>
        <v>83.801794218591425</v>
      </c>
      <c r="H67" s="3">
        <f>+((+H17+G17)/2)/(+H38+G38+F38+E38)*$D$204</f>
        <v>87.848901304297385</v>
      </c>
      <c r="I67" s="3">
        <f>+((+I17+G17)/2)/(+I38+H38+G38+F38)*$D$204</f>
        <v>138.08443217089993</v>
      </c>
      <c r="J67" s="3">
        <f>+((+J17+G17)/2)/(+J38+I38+H38+G38)*$D$204</f>
        <v>109.88015693046329</v>
      </c>
      <c r="K67" s="3">
        <f t="shared" ref="K67:S67" si="55">+((+K17+G17)/2)/(+K38+J38+I38+H38)*$D$204</f>
        <v>86.42281950712308</v>
      </c>
      <c r="L67" s="3">
        <f t="shared" si="55"/>
        <v>85.136613282279285</v>
      </c>
      <c r="M67" s="3">
        <f t="shared" si="55"/>
        <v>129.36349075532854</v>
      </c>
      <c r="N67" s="3">
        <f t="shared" si="55"/>
        <v>94.569532160723625</v>
      </c>
      <c r="O67" s="3">
        <f t="shared" si="55"/>
        <v>92.471132382698528</v>
      </c>
      <c r="P67" s="3">
        <f t="shared" si="55"/>
        <v>89.065887905383008</v>
      </c>
      <c r="Q67" s="3">
        <f t="shared" si="55"/>
        <v>135.89908240188001</v>
      </c>
      <c r="R67" s="3">
        <f t="shared" si="55"/>
        <v>106.36961526458074</v>
      </c>
      <c r="S67" s="3">
        <f t="shared" si="55"/>
        <v>158.33398586554364</v>
      </c>
      <c r="T67" s="3">
        <f>+((+T17+P17)/2)/(+T38+S38+R38+Q38)*$E$204</f>
        <v>139.95253210888157</v>
      </c>
      <c r="U67" s="3">
        <f>+((+U17+Q17)/2)/(+U38+T38+S38+R38)*$E$204</f>
        <v>234.44530649833263</v>
      </c>
      <c r="V67" s="3">
        <f>+((+V17+R17)/2)/(+V38+U38+T38+S38)*$E$204</f>
        <v>112.3482792514296</v>
      </c>
      <c r="W67" s="3">
        <f>+((+W17+S17)/2)/(+W38+V38+U38+T38)*$E$204</f>
        <v>83.270796380090488</v>
      </c>
      <c r="X67" s="3">
        <f>+((+X17+T17)/2)/(+X38+W38+V38+U38)*$D$204</f>
        <v>80.41048125001393</v>
      </c>
    </row>
    <row r="68" spans="2:24" x14ac:dyDescent="0.25">
      <c r="B68" s="1" t="s">
        <v>64</v>
      </c>
      <c r="C68" s="1" t="s">
        <v>130</v>
      </c>
      <c r="D68" s="5"/>
      <c r="E68" s="5"/>
      <c r="F68" s="5"/>
      <c r="G68" s="3">
        <f>+G62/(+G38+F38+E38+D38)*$E$204</f>
        <v>143.75452433288697</v>
      </c>
      <c r="H68" s="3">
        <f t="shared" ref="H68:S68" si="56">+H62/(+H38+G38+F38+E38)*$D$204</f>
        <v>156.26061911368245</v>
      </c>
      <c r="I68" s="3">
        <f t="shared" si="56"/>
        <v>120.16233264716521</v>
      </c>
      <c r="J68" s="3">
        <f t="shared" si="56"/>
        <v>128.56849023902356</v>
      </c>
      <c r="K68" s="3">
        <f t="shared" si="56"/>
        <v>125.77338957851282</v>
      </c>
      <c r="L68" s="3">
        <f t="shared" si="56"/>
        <v>129.69775817782534</v>
      </c>
      <c r="M68" s="3">
        <f t="shared" si="56"/>
        <v>103.4319021492757</v>
      </c>
      <c r="N68" s="3">
        <f t="shared" si="56"/>
        <v>112.91824765386552</v>
      </c>
      <c r="O68" s="3">
        <f t="shared" si="56"/>
        <v>132.00116339015443</v>
      </c>
      <c r="P68" s="3">
        <f t="shared" si="56"/>
        <v>161.18458489159963</v>
      </c>
      <c r="Q68" s="3">
        <f t="shared" si="56"/>
        <v>165.60833290204255</v>
      </c>
      <c r="R68" s="3">
        <f t="shared" si="56"/>
        <v>255.82633652673957</v>
      </c>
      <c r="S68" s="3">
        <f t="shared" si="56"/>
        <v>397.64846238616701</v>
      </c>
      <c r="T68" s="3">
        <f>+T62/(+T38+S38+R38+Q38)*$E$204</f>
        <v>286.09950289928219</v>
      </c>
      <c r="U68" s="3">
        <f>+U62/(+U38+T38+S38+R38)*$E$204</f>
        <v>185.18894115069736</v>
      </c>
      <c r="V68" s="3">
        <f>+V62/(+V38+U38+T38+S38)*$E$204</f>
        <v>189.86139582597195</v>
      </c>
      <c r="W68" s="3">
        <f>+W62/(+W38+V38+U38+T38)*$E$204</f>
        <v>174.88933553776542</v>
      </c>
      <c r="X68" s="3">
        <f>+X62/(+X38+W38+V38+U38)*$D$204</f>
        <v>137.63498652563104</v>
      </c>
    </row>
    <row r="70" spans="2:24" x14ac:dyDescent="0.25">
      <c r="B70" s="9" t="s">
        <v>149</v>
      </c>
    </row>
    <row r="72" spans="2:24" x14ac:dyDescent="0.25">
      <c r="B72" s="1" t="s">
        <v>139</v>
      </c>
      <c r="C72" s="1" t="s">
        <v>142</v>
      </c>
      <c r="G72" s="20">
        <f t="shared" ref="G72:X72" si="57">(+G39+F39+E39+D39)/(+G37+F37+E37+D37)</f>
        <v>0.25178909172228747</v>
      </c>
      <c r="H72" s="20">
        <f t="shared" si="57"/>
        <v>0.27858627246767842</v>
      </c>
      <c r="I72" s="20">
        <f t="shared" si="57"/>
        <v>0.28056478600246004</v>
      </c>
      <c r="J72" s="20">
        <f t="shared" si="57"/>
        <v>0.26748364306731415</v>
      </c>
      <c r="K72" s="20">
        <f t="shared" si="57"/>
        <v>0.22106913335165029</v>
      </c>
      <c r="L72" s="20">
        <f t="shared" si="57"/>
        <v>0.21314966916051398</v>
      </c>
      <c r="M72" s="20">
        <f t="shared" si="57"/>
        <v>0.28060242295740301</v>
      </c>
      <c r="N72" s="20">
        <f t="shared" si="57"/>
        <v>0.30089209857457866</v>
      </c>
      <c r="O72" s="20">
        <f t="shared" si="57"/>
        <v>0.32841127762829986</v>
      </c>
      <c r="P72" s="20">
        <f t="shared" si="57"/>
        <v>0.37904423810885507</v>
      </c>
      <c r="Q72" s="20">
        <f t="shared" si="57"/>
        <v>0.38709149961545702</v>
      </c>
      <c r="R72" s="20">
        <f t="shared" si="57"/>
        <v>0.481194297053813</v>
      </c>
      <c r="S72" s="20">
        <f t="shared" si="57"/>
        <v>0.5949930859723267</v>
      </c>
      <c r="T72" s="20">
        <f t="shared" si="57"/>
        <v>0.54451765139666775</v>
      </c>
      <c r="U72" s="20">
        <f t="shared" si="57"/>
        <v>0.48641309760572249</v>
      </c>
      <c r="V72" s="20">
        <f t="shared" si="57"/>
        <v>0.38310201824322654</v>
      </c>
      <c r="W72" s="20">
        <f t="shared" si="57"/>
        <v>0.24692005242463957</v>
      </c>
      <c r="X72" s="20">
        <f t="shared" si="57"/>
        <v>0.23842391032580518</v>
      </c>
    </row>
    <row r="73" spans="2:24" x14ac:dyDescent="0.25">
      <c r="B73" s="1" t="s">
        <v>140</v>
      </c>
      <c r="C73" s="1" t="s">
        <v>142</v>
      </c>
      <c r="G73" s="20">
        <f t="shared" ref="G73:X73" si="58">+(+G43+F43+E43+D43)/(+G37+F37+E37+D37)</f>
        <v>0.2185611327167335</v>
      </c>
      <c r="H73" s="20">
        <f t="shared" si="58"/>
        <v>0.24023027981804868</v>
      </c>
      <c r="I73" s="20">
        <f t="shared" si="58"/>
        <v>0.24305127996835968</v>
      </c>
      <c r="J73" s="20">
        <f t="shared" si="58"/>
        <v>0.23535912749280832</v>
      </c>
      <c r="K73" s="20">
        <f t="shared" si="58"/>
        <v>0.19212692173456733</v>
      </c>
      <c r="L73" s="20">
        <f t="shared" si="58"/>
        <v>0.18723771357922078</v>
      </c>
      <c r="M73" s="20">
        <f t="shared" si="58"/>
        <v>0.24028174189632753</v>
      </c>
      <c r="N73" s="20">
        <f t="shared" si="58"/>
        <v>0.2561119290359381</v>
      </c>
      <c r="O73" s="20">
        <f t="shared" si="58"/>
        <v>0.28213538135320276</v>
      </c>
      <c r="P73" s="20">
        <f t="shared" si="58"/>
        <v>0.32049999259992024</v>
      </c>
      <c r="Q73" s="20">
        <f t="shared" si="58"/>
        <v>0.32927732241324165</v>
      </c>
      <c r="R73" s="20">
        <f t="shared" si="58"/>
        <v>0.41082657168703318</v>
      </c>
      <c r="S73" s="20">
        <f t="shared" si="58"/>
        <v>0.50046989152417554</v>
      </c>
      <c r="T73" s="20">
        <f t="shared" si="58"/>
        <v>0.45498454599256216</v>
      </c>
      <c r="U73" s="20">
        <f t="shared" si="58"/>
        <v>0.39431616104177042</v>
      </c>
      <c r="V73" s="20">
        <f t="shared" si="58"/>
        <v>0.29665912918137272</v>
      </c>
      <c r="W73" s="20">
        <f t="shared" si="58"/>
        <v>0.1798539599325969</v>
      </c>
      <c r="X73" s="20">
        <f t="shared" si="58"/>
        <v>0.16705179755364014</v>
      </c>
    </row>
    <row r="74" spans="2:24" x14ac:dyDescent="0.25">
      <c r="B74" s="1" t="s">
        <v>141</v>
      </c>
      <c r="C74" s="1" t="s">
        <v>142</v>
      </c>
      <c r="G74" s="20">
        <f>+(+G43+F43+E43+D43)/((+G14+G14)/2)</f>
        <v>0.18438977593823511</v>
      </c>
      <c r="H74" s="20">
        <f>+(+H43+G43+F43+E43)/((+H14+G14)/2)</f>
        <v>0.1959588578167728</v>
      </c>
      <c r="I74" s="20">
        <f>+(+I43+H43+G43+F43)/((+I14+G14)/2)</f>
        <v>0.19035669021673507</v>
      </c>
      <c r="J74" s="20">
        <f>+(+J43+I43+H43+G43)/((+J14+G14)/2)</f>
        <v>0.18358675407813865</v>
      </c>
      <c r="K74" s="20">
        <f t="shared" ref="K74:X74" si="59">+(+K43+J43+I43+H43)/((+K14+G14)/2)</f>
        <v>0.15580596192271631</v>
      </c>
      <c r="L74" s="20">
        <f t="shared" si="59"/>
        <v>0.15509175213991372</v>
      </c>
      <c r="M74" s="20">
        <f t="shared" si="59"/>
        <v>0.2058975497552484</v>
      </c>
      <c r="N74" s="20">
        <f t="shared" si="59"/>
        <v>0.23915277173353053</v>
      </c>
      <c r="O74" s="20">
        <f t="shared" si="59"/>
        <v>0.2618474159235844</v>
      </c>
      <c r="P74" s="20">
        <f t="shared" si="59"/>
        <v>0.30438838975155674</v>
      </c>
      <c r="Q74" s="20">
        <f t="shared" si="59"/>
        <v>0.30826094372551321</v>
      </c>
      <c r="R74" s="20">
        <f t="shared" si="59"/>
        <v>0.38704930215517791</v>
      </c>
      <c r="S74" s="20">
        <f t="shared" si="59"/>
        <v>0.42722609535205819</v>
      </c>
      <c r="T74" s="20">
        <f t="shared" si="59"/>
        <v>0.35378951434580785</v>
      </c>
      <c r="U74" s="20">
        <f t="shared" si="59"/>
        <v>0.30081770548916609</v>
      </c>
      <c r="V74" s="20">
        <f t="shared" si="59"/>
        <v>0.24736178262501424</v>
      </c>
      <c r="W74" s="20">
        <f t="shared" si="59"/>
        <v>0.14969641361614641</v>
      </c>
      <c r="X74" s="20">
        <f t="shared" si="59"/>
        <v>0.12698092741550732</v>
      </c>
    </row>
    <row r="75" spans="2:24" x14ac:dyDescent="0.25">
      <c r="B75" s="1" t="s">
        <v>148</v>
      </c>
      <c r="C75" s="1" t="s">
        <v>142</v>
      </c>
      <c r="G75" s="20">
        <f>(+G43+F43+E43+D43)/((+G22+G22)/2)</f>
        <v>0.25183465334409555</v>
      </c>
      <c r="H75" s="20">
        <f>(+H43+G43+F43+E43)/((+H22+G22)/2)</f>
        <v>0.26479295873079062</v>
      </c>
      <c r="I75" s="20">
        <f>(+I43+H43+G43+F43)/((+I22+G22)/2)</f>
        <v>0.28435998642376248</v>
      </c>
      <c r="J75" s="20">
        <f>(+J43+I43+H43+G43)/((+J22+G22)/2)</f>
        <v>0.26014025919817868</v>
      </c>
      <c r="K75" s="20">
        <f t="shared" ref="K75:X75" si="60">(+K43+J43+I43+H43)/((+K22+G22)/2)</f>
        <v>0.21575443276416487</v>
      </c>
      <c r="L75" s="20">
        <f t="shared" si="60"/>
        <v>0.21584059560609911</v>
      </c>
      <c r="M75" s="20">
        <f t="shared" si="60"/>
        <v>0.31300858049492541</v>
      </c>
      <c r="N75" s="20">
        <f t="shared" si="60"/>
        <v>0.34163560315309044</v>
      </c>
      <c r="O75" s="20">
        <f t="shared" si="60"/>
        <v>0.37065682808565309</v>
      </c>
      <c r="P75" s="20">
        <f t="shared" si="60"/>
        <v>0.41888460671076844</v>
      </c>
      <c r="Q75" s="20">
        <f t="shared" si="60"/>
        <v>0.45821084973114329</v>
      </c>
      <c r="R75" s="20">
        <f t="shared" si="60"/>
        <v>0.52326601049503618</v>
      </c>
      <c r="S75" s="20">
        <f t="shared" si="60"/>
        <v>0.57768715304319496</v>
      </c>
      <c r="T75" s="20">
        <f t="shared" si="60"/>
        <v>0.5065595516374104</v>
      </c>
      <c r="U75" s="20">
        <f t="shared" si="60"/>
        <v>0.51074594600313095</v>
      </c>
      <c r="V75" s="20">
        <f t="shared" si="60"/>
        <v>0.3654860619579558</v>
      </c>
      <c r="W75" s="20">
        <f t="shared" si="60"/>
        <v>0.21302944975797117</v>
      </c>
      <c r="X75" s="20">
        <f t="shared" si="60"/>
        <v>0.19039606277262539</v>
      </c>
    </row>
    <row r="77" spans="2:24" x14ac:dyDescent="0.25">
      <c r="B77" s="9" t="s">
        <v>65</v>
      </c>
      <c r="C77" s="11"/>
      <c r="D77" s="11"/>
      <c r="E77" s="11"/>
      <c r="F77" s="11"/>
    </row>
    <row r="79" spans="2:24" x14ac:dyDescent="0.25">
      <c r="B79" s="1" t="s">
        <v>69</v>
      </c>
      <c r="C79" s="1" t="s">
        <v>142</v>
      </c>
      <c r="D79" s="5"/>
      <c r="E79" s="5"/>
      <c r="F79" s="5"/>
      <c r="G79" s="20">
        <f t="shared" ref="G79:X79" si="61">+G18/G14</f>
        <v>0.26781412530112292</v>
      </c>
      <c r="H79" s="20">
        <f t="shared" si="61"/>
        <v>0.2521886980763855</v>
      </c>
      <c r="I79" s="20">
        <f t="shared" si="61"/>
        <v>0.3914286567441233</v>
      </c>
      <c r="J79" s="20">
        <f t="shared" si="61"/>
        <v>0.32136451759676027</v>
      </c>
      <c r="K79" s="20">
        <f t="shared" si="61"/>
        <v>0.28797005054256358</v>
      </c>
      <c r="L79" s="20">
        <f t="shared" si="61"/>
        <v>0.30846267714452053</v>
      </c>
      <c r="M79" s="20">
        <f t="shared" si="61"/>
        <v>0.29976509000222223</v>
      </c>
      <c r="N79" s="20">
        <f t="shared" si="61"/>
        <v>0.2834740011814067</v>
      </c>
      <c r="O79" s="20">
        <f t="shared" si="61"/>
        <v>0.29747594821251194</v>
      </c>
      <c r="P79" s="20">
        <f t="shared" si="61"/>
        <v>0.24770095040294679</v>
      </c>
      <c r="Q79" s="20">
        <f t="shared" si="61"/>
        <v>0.34686626543831883</v>
      </c>
      <c r="R79" s="20">
        <f t="shared" si="61"/>
        <v>0.24368637418521019</v>
      </c>
      <c r="S79" s="20">
        <f t="shared" si="61"/>
        <v>0.23471710984996536</v>
      </c>
      <c r="T79" s="20">
        <f t="shared" si="61"/>
        <v>0.33505639771269208</v>
      </c>
      <c r="U79" s="20">
        <f t="shared" si="61"/>
        <v>0.45375927629400681</v>
      </c>
      <c r="V79" s="20">
        <f t="shared" si="61"/>
        <v>0.38473241794994517</v>
      </c>
      <c r="W79" s="20">
        <f t="shared" si="61"/>
        <v>0.35417658257972395</v>
      </c>
      <c r="X79" s="20">
        <f t="shared" si="61"/>
        <v>0.33101402988479528</v>
      </c>
    </row>
    <row r="80" spans="2:24" x14ac:dyDescent="0.25">
      <c r="B80" s="1" t="s">
        <v>70</v>
      </c>
      <c r="C80" s="1" t="s">
        <v>142</v>
      </c>
      <c r="D80" s="5"/>
      <c r="E80" s="5"/>
      <c r="F80" s="5"/>
      <c r="G80" s="20">
        <f t="shared" ref="G80:X80" si="62">+G18/G22</f>
        <v>0.36577341158249693</v>
      </c>
      <c r="H80" s="20">
        <f t="shared" si="62"/>
        <v>0.33723574039022131</v>
      </c>
      <c r="I80" s="20">
        <f t="shared" si="62"/>
        <v>0.64319271862189087</v>
      </c>
      <c r="J80" s="20">
        <f t="shared" si="62"/>
        <v>0.47354511505752372</v>
      </c>
      <c r="K80" s="20">
        <f t="shared" si="62"/>
        <v>0.40443530607384631</v>
      </c>
      <c r="L80" s="20">
        <f t="shared" si="62"/>
        <v>0.44605354902729444</v>
      </c>
      <c r="M80" s="20">
        <f t="shared" si="62"/>
        <v>0.42809218124125459</v>
      </c>
      <c r="N80" s="20">
        <f t="shared" si="62"/>
        <v>0.39562277104919857</v>
      </c>
      <c r="O80" s="20">
        <f t="shared" si="62"/>
        <v>0.42343880961174224</v>
      </c>
      <c r="P80" s="20">
        <f t="shared" si="62"/>
        <v>0.32925862465946287</v>
      </c>
      <c r="Q80" s="20">
        <f t="shared" si="62"/>
        <v>0.53108000258339305</v>
      </c>
      <c r="R80" s="20">
        <f t="shared" si="62"/>
        <v>0.32220280828959363</v>
      </c>
      <c r="S80" s="20">
        <f t="shared" si="62"/>
        <v>0.30670633418179355</v>
      </c>
      <c r="T80" s="20">
        <f t="shared" si="62"/>
        <v>0.50388694102800213</v>
      </c>
      <c r="U80" s="20">
        <f t="shared" si="62"/>
        <v>0.83069470400423084</v>
      </c>
      <c r="V80" s="20">
        <f t="shared" si="62"/>
        <v>0.62530909993344241</v>
      </c>
      <c r="W80" s="20">
        <f t="shared" si="62"/>
        <v>0.54841087056655924</v>
      </c>
      <c r="X80" s="20">
        <f t="shared" si="62"/>
        <v>0.49479965899403239</v>
      </c>
    </row>
    <row r="81" spans="2:24" x14ac:dyDescent="0.25">
      <c r="B81" s="6" t="s">
        <v>145</v>
      </c>
      <c r="C81" s="6"/>
      <c r="D81" s="35"/>
      <c r="E81" s="35"/>
      <c r="F81" s="35"/>
      <c r="G81" s="7">
        <f t="shared" ref="G81:P82" si="63">+G39+F39+E39+D39</f>
        <v>3186362</v>
      </c>
      <c r="H81" s="7">
        <f t="shared" si="63"/>
        <v>3429343.9226499265</v>
      </c>
      <c r="I81" s="7">
        <f t="shared" si="63"/>
        <v>3347923.1755391452</v>
      </c>
      <c r="J81" s="7">
        <f t="shared" si="63"/>
        <v>3093700.2190303197</v>
      </c>
      <c r="K81" s="7">
        <f t="shared" si="63"/>
        <v>2679338</v>
      </c>
      <c r="L81" s="7">
        <f t="shared" si="63"/>
        <v>2792198</v>
      </c>
      <c r="M81" s="7">
        <f t="shared" si="63"/>
        <v>4018163</v>
      </c>
      <c r="N81" s="7">
        <f t="shared" si="63"/>
        <v>4726958</v>
      </c>
      <c r="O81" s="7">
        <f t="shared" si="63"/>
        <v>5506309</v>
      </c>
      <c r="P81" s="7">
        <f t="shared" si="63"/>
        <v>7017365</v>
      </c>
      <c r="Q81" s="7">
        <f t="shared" ref="Q81:X82" si="64">+Q39+P39+O39+N39</f>
        <v>7809919</v>
      </c>
      <c r="R81" s="7">
        <f t="shared" si="64"/>
        <v>10297672</v>
      </c>
      <c r="S81" s="7">
        <f t="shared" si="64"/>
        <v>13153649</v>
      </c>
      <c r="T81" s="7">
        <f t="shared" si="64"/>
        <v>12452303</v>
      </c>
      <c r="U81" s="7">
        <f t="shared" si="64"/>
        <v>11672602</v>
      </c>
      <c r="V81" s="7">
        <f t="shared" si="64"/>
        <v>9678671</v>
      </c>
      <c r="W81" s="7">
        <f t="shared" si="64"/>
        <v>6594000</v>
      </c>
      <c r="X81" s="7">
        <f t="shared" si="64"/>
        <v>6465386</v>
      </c>
    </row>
    <row r="82" spans="2:24" x14ac:dyDescent="0.25">
      <c r="B82" s="6" t="s">
        <v>146</v>
      </c>
      <c r="C82" s="6"/>
      <c r="D82" s="35"/>
      <c r="E82" s="35"/>
      <c r="F82" s="35"/>
      <c r="G82" s="7">
        <f t="shared" si="63"/>
        <v>210085</v>
      </c>
      <c r="H82" s="7">
        <f t="shared" si="63"/>
        <v>185704.20254714147</v>
      </c>
      <c r="I82" s="7">
        <f t="shared" si="63"/>
        <v>168094.45313024917</v>
      </c>
      <c r="J82" s="7">
        <f t="shared" si="63"/>
        <v>199340.78098408054</v>
      </c>
      <c r="K82" s="7">
        <f t="shared" si="63"/>
        <v>194204</v>
      </c>
      <c r="L82" s="7">
        <f t="shared" si="63"/>
        <v>218180</v>
      </c>
      <c r="M82" s="7">
        <f t="shared" si="63"/>
        <v>206486</v>
      </c>
      <c r="N82" s="7">
        <f t="shared" si="63"/>
        <v>212501</v>
      </c>
      <c r="O82" s="7">
        <f t="shared" si="63"/>
        <v>236462</v>
      </c>
      <c r="P82" s="7">
        <f t="shared" si="63"/>
        <v>230691</v>
      </c>
      <c r="Q82" s="7">
        <f t="shared" si="64"/>
        <v>271420</v>
      </c>
      <c r="R82" s="7">
        <f t="shared" si="64"/>
        <v>178824</v>
      </c>
      <c r="S82" s="7">
        <f t="shared" si="64"/>
        <v>136024</v>
      </c>
      <c r="T82" s="7">
        <f t="shared" si="64"/>
        <v>62198</v>
      </c>
      <c r="U82" s="7">
        <f t="shared" si="64"/>
        <v>-100316</v>
      </c>
      <c r="V82" s="7">
        <f t="shared" si="64"/>
        <v>-135776</v>
      </c>
      <c r="W82" s="7">
        <f t="shared" si="64"/>
        <v>-146000</v>
      </c>
      <c r="X82" s="7">
        <f t="shared" si="64"/>
        <v>-201944</v>
      </c>
    </row>
    <row r="83" spans="2:24" ht="60" x14ac:dyDescent="0.25">
      <c r="B83" s="13" t="s">
        <v>147</v>
      </c>
      <c r="C83" s="1" t="s">
        <v>129</v>
      </c>
      <c r="D83" s="5"/>
      <c r="E83" s="5"/>
      <c r="F83" s="5"/>
      <c r="G83" s="55" t="s">
        <v>168</v>
      </c>
      <c r="H83" s="55" t="s">
        <v>168</v>
      </c>
      <c r="I83" s="55" t="s">
        <v>168</v>
      </c>
      <c r="J83" s="55" t="s">
        <v>168</v>
      </c>
      <c r="K83" s="55" t="s">
        <v>168</v>
      </c>
      <c r="L83" s="55" t="s">
        <v>168</v>
      </c>
      <c r="M83" s="55" t="s">
        <v>168</v>
      </c>
      <c r="N83" s="55" t="s">
        <v>168</v>
      </c>
      <c r="O83" s="55" t="s">
        <v>168</v>
      </c>
      <c r="P83" s="55" t="s">
        <v>168</v>
      </c>
      <c r="Q83" s="55" t="s">
        <v>168</v>
      </c>
      <c r="R83" s="55" t="s">
        <v>168</v>
      </c>
      <c r="S83" s="55" t="s">
        <v>168</v>
      </c>
      <c r="T83" s="55" t="s">
        <v>168</v>
      </c>
      <c r="U83" s="55" t="s">
        <v>168</v>
      </c>
      <c r="V83" s="55">
        <f>+V81/-V82</f>
        <v>71.28410764789065</v>
      </c>
      <c r="W83" s="55">
        <f>+W81/-W82</f>
        <v>45.164383561643838</v>
      </c>
      <c r="X83" s="55">
        <f>+X81/-X82</f>
        <v>32.01573703600998</v>
      </c>
    </row>
    <row r="85" spans="2:24" x14ac:dyDescent="0.25">
      <c r="B85" s="9" t="s">
        <v>66</v>
      </c>
      <c r="C85" s="11"/>
      <c r="D85" s="11"/>
      <c r="E85" s="11"/>
      <c r="F85" s="11"/>
    </row>
    <row r="87" spans="2:24" x14ac:dyDescent="0.25">
      <c r="B87" s="1" t="s">
        <v>68</v>
      </c>
      <c r="C87" s="1" t="s">
        <v>129</v>
      </c>
      <c r="D87" s="5"/>
      <c r="E87" s="5"/>
      <c r="F87" s="5"/>
      <c r="G87" s="4">
        <f t="shared" ref="G87:X87" si="65">(+G37+F37+E37+D37)/(+G38+F38+E38+D38)</f>
        <v>1.3365215461799058</v>
      </c>
      <c r="H87" s="4">
        <f t="shared" si="65"/>
        <v>1.3861671352174219</v>
      </c>
      <c r="I87" s="4">
        <f t="shared" si="65"/>
        <v>1.389979223345911</v>
      </c>
      <c r="J87" s="4">
        <f t="shared" si="65"/>
        <v>1.3651572289625939</v>
      </c>
      <c r="K87" s="4">
        <f t="shared" si="65"/>
        <v>1.2838109809447986</v>
      </c>
      <c r="L87" s="4">
        <f t="shared" si="65"/>
        <v>1.2708897242670101</v>
      </c>
      <c r="M87" s="4">
        <f t="shared" si="65"/>
        <v>1.3900519433370124</v>
      </c>
      <c r="N87" s="4">
        <f t="shared" si="65"/>
        <v>1.4303943611008907</v>
      </c>
      <c r="O87" s="4">
        <f t="shared" si="65"/>
        <v>1.4890065402952612</v>
      </c>
      <c r="P87" s="4">
        <f t="shared" si="65"/>
        <v>1.6104206794932718</v>
      </c>
      <c r="Q87" s="4">
        <f t="shared" si="65"/>
        <v>1.6315649062993793</v>
      </c>
      <c r="R87" s="4">
        <f t="shared" si="65"/>
        <v>1.9275038696013038</v>
      </c>
      <c r="S87" s="4">
        <f t="shared" si="65"/>
        <v>2.4690936509090609</v>
      </c>
      <c r="T87" s="4">
        <f t="shared" si="65"/>
        <v>2.1954747600348266</v>
      </c>
      <c r="U87" s="4">
        <f t="shared" si="65"/>
        <v>1.9470901522957962</v>
      </c>
      <c r="V87" s="4">
        <f t="shared" si="65"/>
        <v>1.6210135704322559</v>
      </c>
      <c r="W87" s="4">
        <f t="shared" si="65"/>
        <v>1.3278802645318482</v>
      </c>
      <c r="X87" s="4">
        <f t="shared" si="65"/>
        <v>1.3130664336216278</v>
      </c>
    </row>
    <row r="88" spans="2:24" x14ac:dyDescent="0.25">
      <c r="B88" s="1" t="s">
        <v>67</v>
      </c>
      <c r="C88" s="1" t="s">
        <v>129</v>
      </c>
      <c r="D88" s="5"/>
      <c r="E88" s="5"/>
      <c r="F88" s="5"/>
      <c r="G88" s="4">
        <f>+(1+G75)/(+G74+1)</f>
        <v>1.0569448325002915</v>
      </c>
      <c r="H88" s="4">
        <f t="shared" ref="H88:X88" si="66">+(1+H75)/(+H74+1)</f>
        <v>1.0575555759833368</v>
      </c>
      <c r="I88" s="4">
        <f t="shared" si="66"/>
        <v>1.0789706959095695</v>
      </c>
      <c r="J88" s="4">
        <f t="shared" si="66"/>
        <v>1.0646792513149284</v>
      </c>
      <c r="K88" s="4">
        <f t="shared" si="66"/>
        <v>1.0518672448632491</v>
      </c>
      <c r="L88" s="4">
        <f t="shared" si="66"/>
        <v>1.0525922233914686</v>
      </c>
      <c r="M88" s="4">
        <f t="shared" si="66"/>
        <v>1.0888226622248436</v>
      </c>
      <c r="N88" s="4">
        <f t="shared" si="66"/>
        <v>1.0827039520528128</v>
      </c>
      <c r="O88" s="4">
        <f t="shared" si="66"/>
        <v>1.0862302452649775</v>
      </c>
      <c r="P88" s="4">
        <f t="shared" si="66"/>
        <v>1.0877777032199893</v>
      </c>
      <c r="Q88" s="4">
        <f t="shared" si="66"/>
        <v>1.1146177348829356</v>
      </c>
      <c r="R88" s="4">
        <f t="shared" si="66"/>
        <v>1.0982061042301861</v>
      </c>
      <c r="S88" s="4">
        <f t="shared" si="66"/>
        <v>1.105422019805504</v>
      </c>
      <c r="T88" s="4">
        <f t="shared" si="66"/>
        <v>1.1128462258517533</v>
      </c>
      <c r="U88" s="4">
        <f t="shared" si="66"/>
        <v>1.1613817521303051</v>
      </c>
      <c r="V88" s="4">
        <f t="shared" si="66"/>
        <v>1.0946992933231885</v>
      </c>
      <c r="W88" s="4">
        <f t="shared" si="66"/>
        <v>1.0550867475898467</v>
      </c>
      <c r="X88" s="4">
        <f t="shared" si="66"/>
        <v>1.0562699277462904</v>
      </c>
    </row>
    <row r="89" spans="2:24" x14ac:dyDescent="0.25">
      <c r="B89" s="1" t="s">
        <v>71</v>
      </c>
      <c r="C89" s="1" t="s">
        <v>129</v>
      </c>
      <c r="D89" s="5"/>
      <c r="E89" s="5"/>
      <c r="F89" s="5"/>
      <c r="G89" s="4">
        <f>+G88*G87</f>
        <v>1.4126295417601511</v>
      </c>
      <c r="H89" s="4">
        <f t="shared" ref="H89:X89" si="67">+H88*H87</f>
        <v>1.4659487830940325</v>
      </c>
      <c r="I89" s="4">
        <f t="shared" si="67"/>
        <v>1.4997468499133806</v>
      </c>
      <c r="J89" s="4">
        <f t="shared" si="67"/>
        <v>1.4534545764590567</v>
      </c>
      <c r="K89" s="4">
        <f t="shared" si="67"/>
        <v>1.3503987194515905</v>
      </c>
      <c r="L89" s="4">
        <f t="shared" si="67"/>
        <v>1.3377286405515827</v>
      </c>
      <c r="M89" s="4">
        <f t="shared" si="67"/>
        <v>1.5135200575750234</v>
      </c>
      <c r="N89" s="4">
        <f t="shared" si="67"/>
        <v>1.5486936277579926</v>
      </c>
      <c r="O89" s="4">
        <f t="shared" si="67"/>
        <v>1.6174039394660771</v>
      </c>
      <c r="P89" s="4">
        <f t="shared" si="67"/>
        <v>1.7517797079571658</v>
      </c>
      <c r="Q89" s="4">
        <f t="shared" si="67"/>
        <v>1.8185711801739033</v>
      </c>
      <c r="R89" s="4">
        <f t="shared" si="67"/>
        <v>2.1167965155234563</v>
      </c>
      <c r="S89" s="4">
        <f t="shared" si="67"/>
        <v>2.72939049067684</v>
      </c>
      <c r="T89" s="4">
        <f t="shared" si="67"/>
        <v>2.4432258006575407</v>
      </c>
      <c r="U89" s="4">
        <f t="shared" si="67"/>
        <v>2.2613149726289543</v>
      </c>
      <c r="V89" s="4">
        <f t="shared" si="67"/>
        <v>1.7745224100194892</v>
      </c>
      <c r="W89" s="4">
        <f t="shared" si="67"/>
        <v>1.4010288694936528</v>
      </c>
      <c r="X89" s="4">
        <f t="shared" si="67"/>
        <v>1.386952586967596</v>
      </c>
    </row>
    <row r="91" spans="2:24" x14ac:dyDescent="0.25">
      <c r="B91" s="9" t="s">
        <v>72</v>
      </c>
      <c r="C91" s="11"/>
      <c r="D91" s="11"/>
      <c r="E91" s="11"/>
      <c r="F91" s="11"/>
    </row>
    <row r="93" spans="2:24" x14ac:dyDescent="0.25">
      <c r="B93" s="1" t="s">
        <v>73</v>
      </c>
      <c r="C93" s="1" t="s">
        <v>150</v>
      </c>
      <c r="D93" s="5"/>
      <c r="E93" s="5"/>
      <c r="F93" s="5"/>
      <c r="G93" s="4">
        <f t="shared" ref="G93:X93" si="68">+G22/G48/1000</f>
        <v>54.914324999999998</v>
      </c>
      <c r="H93" s="4">
        <f t="shared" si="68"/>
        <v>56.764964999999997</v>
      </c>
      <c r="I93" s="4">
        <f t="shared" si="68"/>
        <v>47.079000000000001</v>
      </c>
      <c r="J93" s="4">
        <f t="shared" si="68"/>
        <v>49.7273</v>
      </c>
      <c r="K93" s="4">
        <f t="shared" si="68"/>
        <v>53.012124999999997</v>
      </c>
      <c r="L93" s="4">
        <f t="shared" si="68"/>
        <v>56.872554999999998</v>
      </c>
      <c r="M93" s="4">
        <f t="shared" si="68"/>
        <v>62.847059999999999</v>
      </c>
      <c r="N93" s="4">
        <f t="shared" si="68"/>
        <v>68.04350500000001</v>
      </c>
      <c r="O93" s="4">
        <f t="shared" si="68"/>
        <v>74.61061500000001</v>
      </c>
      <c r="P93" s="4">
        <f t="shared" si="68"/>
        <v>84.777839999999998</v>
      </c>
      <c r="Q93" s="4">
        <f t="shared" si="68"/>
        <v>82.140034999999997</v>
      </c>
      <c r="R93" s="4">
        <f t="shared" si="68"/>
        <v>99.97402000000001</v>
      </c>
      <c r="S93" s="4">
        <f t="shared" si="68"/>
        <v>116.91178500000001</v>
      </c>
      <c r="T93" s="4">
        <f t="shared" si="68"/>
        <v>120.62377499999999</v>
      </c>
      <c r="U93" s="4">
        <f t="shared" si="68"/>
        <v>103.12867</v>
      </c>
      <c r="V93" s="4">
        <f t="shared" si="68"/>
        <v>105.08939500000001</v>
      </c>
      <c r="W93" s="4">
        <f t="shared" si="68"/>
        <v>108.55</v>
      </c>
      <c r="X93" s="4">
        <f t="shared" si="68"/>
        <v>117.3</v>
      </c>
    </row>
    <row r="94" spans="2:24" x14ac:dyDescent="0.25">
      <c r="B94" s="1" t="s">
        <v>74</v>
      </c>
      <c r="C94" s="1" t="s">
        <v>150</v>
      </c>
      <c r="D94" s="5"/>
      <c r="E94" s="5"/>
      <c r="F94" s="5"/>
      <c r="G94" s="43">
        <f>(+G44+F44+E44+D44)/((+G48+G48)/2)/1000</f>
        <v>13.830894999999996</v>
      </c>
      <c r="H94" s="43">
        <f t="shared" ref="H94:X94" si="69">(+H44+G44+F44+E44)/((+H48+H48)/2)/1000</f>
        <v>14.49669291936725</v>
      </c>
      <c r="I94" s="43">
        <f t="shared" si="69"/>
        <v>14.072354174388229</v>
      </c>
      <c r="J94" s="43">
        <f t="shared" si="69"/>
        <v>12.954511032830435</v>
      </c>
      <c r="K94" s="43">
        <f t="shared" si="69"/>
        <v>11.639965</v>
      </c>
      <c r="L94" s="43">
        <f t="shared" si="69"/>
        <v>12.243559999999999</v>
      </c>
      <c r="M94" s="43">
        <f t="shared" si="69"/>
        <v>17.183419999999998</v>
      </c>
      <c r="N94" s="43">
        <f t="shared" si="69"/>
        <v>20.100490000000001</v>
      </c>
      <c r="O94" s="43">
        <f t="shared" si="69"/>
        <v>23.622534999999999</v>
      </c>
      <c r="P94" s="43">
        <f t="shared" si="69"/>
        <v>29.648785</v>
      </c>
      <c r="Q94" s="43">
        <f t="shared" si="69"/>
        <v>33.201055000000004</v>
      </c>
      <c r="R94" s="43">
        <f t="shared" si="69"/>
        <v>43.932310000000001</v>
      </c>
      <c r="S94" s="43">
        <f t="shared" si="69"/>
        <v>55.317279999999997</v>
      </c>
      <c r="T94" s="43">
        <f t="shared" si="69"/>
        <v>52.023975</v>
      </c>
      <c r="U94" s="43">
        <f t="shared" si="69"/>
        <v>47.307794999999999</v>
      </c>
      <c r="V94" s="43">
        <f t="shared" si="69"/>
        <v>37.479095000000001</v>
      </c>
      <c r="W94" s="43">
        <f t="shared" si="69"/>
        <v>24.01</v>
      </c>
      <c r="X94" s="43">
        <f t="shared" si="69"/>
        <v>22.66168</v>
      </c>
    </row>
    <row r="95" spans="2:24" x14ac:dyDescent="0.25">
      <c r="B95" s="1" t="s">
        <v>75</v>
      </c>
      <c r="C95" s="1" t="s">
        <v>124</v>
      </c>
      <c r="D95" s="5"/>
      <c r="E95" s="5"/>
      <c r="F95" s="5"/>
      <c r="G95" s="4">
        <f t="shared" ref="G95:X95" si="70">+G48*G54*1000</f>
        <v>5624000</v>
      </c>
      <c r="H95" s="4">
        <f t="shared" si="70"/>
        <v>9138000</v>
      </c>
      <c r="I95" s="4">
        <f t="shared" si="70"/>
        <v>16300000</v>
      </c>
      <c r="J95" s="4">
        <f t="shared" si="70"/>
        <v>17280000</v>
      </c>
      <c r="K95" s="4">
        <f t="shared" si="70"/>
        <v>21200000</v>
      </c>
      <c r="L95" s="4">
        <f t="shared" si="70"/>
        <v>21380000</v>
      </c>
      <c r="M95" s="4">
        <f t="shared" si="70"/>
        <v>17720000</v>
      </c>
      <c r="N95" s="4">
        <f t="shared" si="70"/>
        <v>23460000</v>
      </c>
      <c r="O95" s="4">
        <f t="shared" si="70"/>
        <v>34600000</v>
      </c>
      <c r="P95" s="4">
        <f t="shared" si="70"/>
        <v>36040000</v>
      </c>
      <c r="Q95" s="4">
        <f t="shared" si="70"/>
        <v>39400000</v>
      </c>
      <c r="R95" s="4">
        <f t="shared" si="70"/>
        <v>26200000</v>
      </c>
      <c r="S95" s="4">
        <f t="shared" si="70"/>
        <v>22120000</v>
      </c>
      <c r="T95" s="4">
        <f t="shared" si="70"/>
        <v>28620000</v>
      </c>
      <c r="U95" s="4">
        <f t="shared" si="70"/>
        <v>29000000</v>
      </c>
      <c r="V95" s="4">
        <f t="shared" si="70"/>
        <v>30500000</v>
      </c>
      <c r="W95" s="4">
        <f t="shared" si="70"/>
        <v>38000000</v>
      </c>
      <c r="X95" s="4">
        <f t="shared" si="70"/>
        <v>31560000.000000004</v>
      </c>
    </row>
    <row r="96" spans="2:24" x14ac:dyDescent="0.25">
      <c r="B96" s="1" t="s">
        <v>77</v>
      </c>
      <c r="C96" s="1" t="s">
        <v>129</v>
      </c>
      <c r="D96" s="5"/>
      <c r="E96" s="5"/>
      <c r="F96" s="5"/>
      <c r="G96" s="4">
        <f t="shared" ref="G96:X96" si="71">+G54/G93</f>
        <v>0.51207039328991122</v>
      </c>
      <c r="H96" s="4">
        <f t="shared" si="71"/>
        <v>0.80489788023299236</v>
      </c>
      <c r="I96" s="4">
        <f t="shared" si="71"/>
        <v>1.7311327768219376</v>
      </c>
      <c r="J96" s="4">
        <f t="shared" si="71"/>
        <v>1.7374761951684488</v>
      </c>
      <c r="K96" s="4">
        <f t="shared" si="71"/>
        <v>1.9995425574809538</v>
      </c>
      <c r="L96" s="4">
        <f t="shared" si="71"/>
        <v>1.879641243478511</v>
      </c>
      <c r="M96" s="4">
        <f t="shared" si="71"/>
        <v>1.4097715947253537</v>
      </c>
      <c r="N96" s="4">
        <f t="shared" si="71"/>
        <v>1.7238970861362886</v>
      </c>
      <c r="O96" s="4">
        <f t="shared" si="71"/>
        <v>2.3187049188644266</v>
      </c>
      <c r="P96" s="4">
        <f t="shared" si="71"/>
        <v>2.1255554517548454</v>
      </c>
      <c r="Q96" s="4">
        <f t="shared" si="71"/>
        <v>2.3983432682978525</v>
      </c>
      <c r="R96" s="4">
        <f t="shared" si="71"/>
        <v>1.3103404264427898</v>
      </c>
      <c r="S96" s="4">
        <f t="shared" si="71"/>
        <v>0.94601241440287642</v>
      </c>
      <c r="T96" s="4">
        <f t="shared" si="71"/>
        <v>1.1863332912603672</v>
      </c>
      <c r="U96" s="4">
        <f t="shared" si="71"/>
        <v>1.4060105691268976</v>
      </c>
      <c r="V96" s="4">
        <f t="shared" si="71"/>
        <v>1.4511454747646038</v>
      </c>
      <c r="W96" s="4">
        <f t="shared" si="71"/>
        <v>1.7503454629203132</v>
      </c>
      <c r="X96" s="4">
        <f t="shared" si="71"/>
        <v>1.3452685421994885</v>
      </c>
    </row>
    <row r="97" spans="2:24" x14ac:dyDescent="0.25">
      <c r="B97" s="28" t="s">
        <v>152</v>
      </c>
      <c r="C97" s="1" t="s">
        <v>129</v>
      </c>
      <c r="D97" s="5"/>
      <c r="E97" s="5"/>
      <c r="F97" s="5"/>
      <c r="G97" s="55" t="s">
        <v>155</v>
      </c>
      <c r="H97" s="55" t="s">
        <v>155</v>
      </c>
      <c r="I97" s="4">
        <f t="shared" ref="I97:X97" si="72">+I55/+I94</f>
        <v>3.7432741776689964</v>
      </c>
      <c r="J97" s="4">
        <f t="shared" si="72"/>
        <v>4.2333758952423821</v>
      </c>
      <c r="K97" s="4">
        <f t="shared" si="72"/>
        <v>6.2378719447275897</v>
      </c>
      <c r="L97" s="4">
        <f t="shared" si="72"/>
        <v>7.2099776250366387</v>
      </c>
      <c r="M97" s="4">
        <f t="shared" si="72"/>
        <v>5.6048949989079224</v>
      </c>
      <c r="N97" s="4">
        <f t="shared" si="72"/>
        <v>5.0783179833873362</v>
      </c>
      <c r="O97" s="4">
        <f t="shared" si="72"/>
        <v>4.7411015771450478</v>
      </c>
      <c r="P97" s="4">
        <f t="shared" si="72"/>
        <v>4.3809605513451899</v>
      </c>
      <c r="Q97" s="4">
        <f t="shared" si="72"/>
        <v>4.5638342116519093</v>
      </c>
      <c r="R97" s="4">
        <f t="shared" si="72"/>
        <v>3.8259887497271117</v>
      </c>
      <c r="S97" s="4">
        <f t="shared" si="72"/>
        <v>3.0179542435983624</v>
      </c>
      <c r="T97" s="4">
        <f t="shared" si="72"/>
        <v>3.0316455820274055</v>
      </c>
      <c r="U97" s="4">
        <f t="shared" si="72"/>
        <v>3.0591052048050544</v>
      </c>
      <c r="V97" s="4">
        <f t="shared" si="72"/>
        <v>3.6245426500627338</v>
      </c>
      <c r="W97" s="4">
        <f t="shared" si="72"/>
        <v>6.0221715414276344</v>
      </c>
      <c r="X97" s="4">
        <f t="shared" si="72"/>
        <v>6.8630055570618635</v>
      </c>
    </row>
    <row r="98" spans="2:24" x14ac:dyDescent="0.25">
      <c r="B98" s="1" t="s">
        <v>76</v>
      </c>
      <c r="C98" s="1" t="s">
        <v>142</v>
      </c>
      <c r="D98" s="5"/>
      <c r="E98" s="5"/>
      <c r="F98" s="5"/>
      <c r="G98" s="43">
        <v>0</v>
      </c>
      <c r="H98" s="43">
        <v>0</v>
      </c>
      <c r="I98" s="43">
        <v>0</v>
      </c>
      <c r="J98" s="43">
        <f>+J50/G94</f>
        <v>0.84448620280900133</v>
      </c>
      <c r="K98" s="4">
        <f t="shared" ref="K98:M98" si="73">+J98</f>
        <v>0.84448620280900133</v>
      </c>
      <c r="L98" s="4">
        <f t="shared" si="73"/>
        <v>0.84448620280900133</v>
      </c>
      <c r="M98" s="4">
        <f t="shared" si="73"/>
        <v>0.84448620280900133</v>
      </c>
      <c r="N98" s="43">
        <f>+N50/K94</f>
        <v>0.25773273373244676</v>
      </c>
      <c r="O98" s="4">
        <f t="shared" ref="O98:Q99" si="74">+N98</f>
        <v>0.25773273373244676</v>
      </c>
      <c r="P98" s="4">
        <f t="shared" si="74"/>
        <v>0.25773273373244676</v>
      </c>
      <c r="Q98" s="4">
        <f t="shared" si="74"/>
        <v>0.25773273373244676</v>
      </c>
      <c r="R98" s="43">
        <f>+R50/O94</f>
        <v>0.63075364265520195</v>
      </c>
      <c r="S98" s="4">
        <f t="shared" ref="S98:U99" si="75">+R98</f>
        <v>0.63075364265520195</v>
      </c>
      <c r="T98" s="4">
        <f t="shared" si="75"/>
        <v>0.63075364265520195</v>
      </c>
      <c r="U98" s="4">
        <f t="shared" si="75"/>
        <v>0.63075364265520195</v>
      </c>
      <c r="V98" s="43">
        <f>+V50/S94</f>
        <v>0.51231730844322065</v>
      </c>
      <c r="W98" s="4">
        <f>+V98</f>
        <v>0.51231730844322065</v>
      </c>
      <c r="X98" s="4">
        <f>+W98</f>
        <v>0.51231730844322065</v>
      </c>
    </row>
    <row r="99" spans="2:24" x14ac:dyDescent="0.25">
      <c r="B99" s="1" t="s">
        <v>153</v>
      </c>
      <c r="C99" s="1" t="s">
        <v>142</v>
      </c>
      <c r="D99" s="5"/>
      <c r="E99" s="5"/>
      <c r="F99" s="5"/>
      <c r="G99" s="43">
        <v>0</v>
      </c>
      <c r="H99" s="43">
        <v>0</v>
      </c>
      <c r="I99" s="43">
        <v>0</v>
      </c>
      <c r="J99" s="43">
        <f>+K50/K55</f>
        <v>0.16086246274737853</v>
      </c>
      <c r="K99" s="43">
        <f>+J99</f>
        <v>0.16086246274737853</v>
      </c>
      <c r="L99" s="43">
        <f>+K99</f>
        <v>0.16086246274737853</v>
      </c>
      <c r="M99" s="43">
        <f>+N50/N55</f>
        <v>2.9389670634336715E-2</v>
      </c>
      <c r="N99" s="43">
        <f>+O50/O55</f>
        <v>2.6786470538411572E-2</v>
      </c>
      <c r="O99" s="4">
        <f t="shared" si="74"/>
        <v>2.6786470538411572E-2</v>
      </c>
      <c r="P99" s="4">
        <f t="shared" si="74"/>
        <v>2.6786470538411572E-2</v>
      </c>
      <c r="Q99" s="4">
        <f t="shared" si="74"/>
        <v>2.6786470538411572E-2</v>
      </c>
      <c r="R99" s="43">
        <f>+S50/S55</f>
        <v>8.9250940262318834E-2</v>
      </c>
      <c r="S99" s="4">
        <f t="shared" si="75"/>
        <v>8.9250940262318834E-2</v>
      </c>
      <c r="T99" s="4">
        <f t="shared" si="75"/>
        <v>8.9250940262318834E-2</v>
      </c>
      <c r="U99" s="4">
        <f t="shared" si="75"/>
        <v>8.9250940262318834E-2</v>
      </c>
      <c r="V99" s="43">
        <f>+W50/W55</f>
        <v>0.19599931955525673</v>
      </c>
      <c r="W99" s="4">
        <f>+V99</f>
        <v>0.19599931955525673</v>
      </c>
      <c r="X99" s="4">
        <f>+W99</f>
        <v>0.19599931955525673</v>
      </c>
    </row>
    <row r="100" spans="2:24" x14ac:dyDescent="0.25">
      <c r="B100" s="28" t="s">
        <v>154</v>
      </c>
      <c r="C100" s="28" t="s">
        <v>142</v>
      </c>
      <c r="D100" s="5"/>
      <c r="E100" s="5"/>
      <c r="F100" s="5"/>
      <c r="G100" s="55" t="s">
        <v>155</v>
      </c>
      <c r="H100" s="4">
        <f t="shared" ref="H100:I100" si="76">+H50/H54</f>
        <v>0.19697964543663823</v>
      </c>
      <c r="I100" s="4">
        <f t="shared" si="76"/>
        <v>0.11042944785276074</v>
      </c>
      <c r="J100" s="4">
        <f t="shared" ref="J100:X100" si="77">+J50/J54</f>
        <v>0.13518518518518519</v>
      </c>
      <c r="K100" s="4">
        <f t="shared" si="77"/>
        <v>0.11018867924528301</v>
      </c>
      <c r="L100" s="4">
        <f t="shared" si="77"/>
        <v>0.10926099158091673</v>
      </c>
      <c r="M100" s="4">
        <f t="shared" si="77"/>
        <v>0.13182844243792324</v>
      </c>
      <c r="N100" s="4">
        <f t="shared" si="77"/>
        <v>2.557544757033248E-2</v>
      </c>
      <c r="O100" s="4">
        <f t="shared" si="77"/>
        <v>1.7341040462427744E-2</v>
      </c>
      <c r="P100" s="4">
        <f t="shared" si="77"/>
        <v>1.6648168701442843E-2</v>
      </c>
      <c r="Q100" s="4">
        <f t="shared" si="77"/>
        <v>1.5228426395939087E-2</v>
      </c>
      <c r="R100" s="4">
        <f t="shared" si="77"/>
        <v>0.11374045801526718</v>
      </c>
      <c r="S100" s="4">
        <f t="shared" si="77"/>
        <v>0.13471971066907776</v>
      </c>
      <c r="T100" s="4">
        <f t="shared" si="77"/>
        <v>0.10412299091544375</v>
      </c>
      <c r="U100" s="4">
        <f t="shared" si="77"/>
        <v>0.10275862068965518</v>
      </c>
      <c r="V100" s="4">
        <f t="shared" si="77"/>
        <v>0.1858360655737705</v>
      </c>
      <c r="W100" s="4">
        <f t="shared" si="77"/>
        <v>0.1491578947368421</v>
      </c>
      <c r="X100" s="4">
        <f t="shared" si="77"/>
        <v>0.17959442332065906</v>
      </c>
    </row>
    <row r="102" spans="2:24" ht="30" x14ac:dyDescent="0.25">
      <c r="B102" s="12" t="s">
        <v>78</v>
      </c>
      <c r="C102" s="32"/>
      <c r="D102" s="32"/>
      <c r="E102" s="32"/>
      <c r="F102" s="32"/>
    </row>
    <row r="104" spans="2:24" x14ac:dyDescent="0.25">
      <c r="B104" s="6" t="s">
        <v>79</v>
      </c>
      <c r="C104" s="6"/>
      <c r="D104" s="35"/>
      <c r="E104" s="35"/>
      <c r="F104" s="35"/>
      <c r="G104" s="45">
        <f>(+G61/G14)*1.2</f>
        <v>0.29751551739137821</v>
      </c>
      <c r="H104" s="45">
        <f t="shared" ref="H104:X104" si="78">+H61/H14</f>
        <v>0.2558806604930644</v>
      </c>
      <c r="I104" s="45">
        <f t="shared" si="78"/>
        <v>0.12496892768821871</v>
      </c>
      <c r="J104" s="45">
        <f t="shared" si="78"/>
        <v>0.15350277077906888</v>
      </c>
      <c r="K104" s="45">
        <f t="shared" si="78"/>
        <v>0.1871795422828906</v>
      </c>
      <c r="L104" s="45">
        <f t="shared" si="78"/>
        <v>0.20917723766171423</v>
      </c>
      <c r="M104" s="45">
        <f t="shared" si="78"/>
        <v>0.21754107554539959</v>
      </c>
      <c r="N104" s="45">
        <f t="shared" si="78"/>
        <v>0.23934705561578073</v>
      </c>
      <c r="O104" s="45">
        <f t="shared" si="78"/>
        <v>0.25221591970784052</v>
      </c>
      <c r="P104" s="45">
        <f t="shared" si="78"/>
        <v>0.29783389056911258</v>
      </c>
      <c r="Q104" s="45">
        <f t="shared" si="78"/>
        <v>0.29088444280873943</v>
      </c>
      <c r="R104" s="45">
        <f t="shared" si="78"/>
        <v>0.41674700174216728</v>
      </c>
      <c r="S104" s="45">
        <f t="shared" si="78"/>
        <v>0.46317102047354125</v>
      </c>
      <c r="T104" s="45">
        <f t="shared" si="78"/>
        <v>0.26382617147577136</v>
      </c>
      <c r="U104" s="45">
        <f t="shared" si="78"/>
        <v>0.13653871608521972</v>
      </c>
      <c r="V104" s="45">
        <f t="shared" si="78"/>
        <v>0.15081774151762778</v>
      </c>
      <c r="W104" s="45">
        <f t="shared" si="78"/>
        <v>0.15076154212279866</v>
      </c>
      <c r="X104" s="45">
        <f t="shared" si="78"/>
        <v>0.17118170411771416</v>
      </c>
    </row>
    <row r="105" spans="2:24" x14ac:dyDescent="0.25">
      <c r="B105" s="6" t="s">
        <v>156</v>
      </c>
      <c r="C105" s="6"/>
      <c r="D105" s="35"/>
      <c r="E105" s="35"/>
      <c r="F105" s="35"/>
      <c r="G105" s="45">
        <f>(+(+G22-G43-F43-E43-D43)/+G14)*1.4</f>
        <v>0.76691453826489853</v>
      </c>
      <c r="H105" s="45">
        <f t="shared" ref="H105:X105" si="79">+(+H22-H43-G43-F43-E43)/+H14</f>
        <v>0.55302396009140775</v>
      </c>
      <c r="I105" s="45">
        <f t="shared" si="79"/>
        <v>0.42111743134835677</v>
      </c>
      <c r="J105" s="45">
        <f t="shared" si="79"/>
        <v>0.49288765966528331</v>
      </c>
      <c r="K105" s="45">
        <f t="shared" si="79"/>
        <v>0.55565014284351955</v>
      </c>
      <c r="L105" s="45">
        <f t="shared" si="79"/>
        <v>0.54241668000149801</v>
      </c>
      <c r="M105" s="45">
        <f t="shared" si="79"/>
        <v>0.50855098129672527</v>
      </c>
      <c r="N105" s="45">
        <f t="shared" si="79"/>
        <v>0.50468205717665071</v>
      </c>
      <c r="O105" s="45">
        <f t="shared" si="79"/>
        <v>0.47981870113779995</v>
      </c>
      <c r="P105" s="45">
        <f t="shared" si="79"/>
        <v>0.48903572513231347</v>
      </c>
      <c r="Q105" s="45">
        <f t="shared" si="79"/>
        <v>0.38900724867611064</v>
      </c>
      <c r="R105" s="45">
        <f t="shared" si="79"/>
        <v>0.42375985099170538</v>
      </c>
      <c r="S105" s="45">
        <f t="shared" si="79"/>
        <v>0.40316831836120026</v>
      </c>
      <c r="T105" s="45">
        <f t="shared" si="79"/>
        <v>0.37815871401660772</v>
      </c>
      <c r="U105" s="45">
        <f t="shared" si="79"/>
        <v>0.29564038347832761</v>
      </c>
      <c r="V105" s="45">
        <f t="shared" si="79"/>
        <v>0.39586883115172328</v>
      </c>
      <c r="W105" s="45">
        <f t="shared" si="79"/>
        <v>0.50294502617801051</v>
      </c>
      <c r="X105" s="45">
        <f t="shared" si="79"/>
        <v>0.53980908520588566</v>
      </c>
    </row>
    <row r="106" spans="2:24" x14ac:dyDescent="0.25">
      <c r="B106" s="6" t="s">
        <v>80</v>
      </c>
      <c r="C106" s="6"/>
      <c r="D106" s="35"/>
      <c r="E106" s="35"/>
      <c r="F106" s="35"/>
      <c r="G106" s="45">
        <f>((+G39+F39+E39+D39)/+G14)*3.3</f>
        <v>0.70099473303686866</v>
      </c>
      <c r="H106" s="45">
        <f t="shared" ref="H106:X106" si="80">(+H39+G39+F39+E39)/+H14</f>
        <v>0.22588775872060141</v>
      </c>
      <c r="I106" s="45">
        <f t="shared" si="80"/>
        <v>0.2163862979306419</v>
      </c>
      <c r="J106" s="45">
        <f t="shared" si="80"/>
        <v>0.21110081791617979</v>
      </c>
      <c r="K106" s="45">
        <f t="shared" si="80"/>
        <v>0.17993703334089972</v>
      </c>
      <c r="L106" s="45">
        <f t="shared" si="80"/>
        <v>0.16975755087866407</v>
      </c>
      <c r="M106" s="45">
        <f t="shared" si="80"/>
        <v>0.2238496125881943</v>
      </c>
      <c r="N106" s="45">
        <f t="shared" si="80"/>
        <v>0.24888402664762346</v>
      </c>
      <c r="O106" s="45">
        <f t="shared" si="80"/>
        <v>0.25923352254058701</v>
      </c>
      <c r="P106" s="45">
        <f t="shared" si="80"/>
        <v>0.31135241356559834</v>
      </c>
      <c r="Q106" s="45">
        <f t="shared" si="80"/>
        <v>0.31050154550666009</v>
      </c>
      <c r="R106" s="45">
        <f t="shared" si="80"/>
        <v>0.38951467830199477</v>
      </c>
      <c r="S106" s="45">
        <f t="shared" si="80"/>
        <v>0.43050675014238782</v>
      </c>
      <c r="T106" s="45">
        <f t="shared" si="80"/>
        <v>0.34321920424033536</v>
      </c>
      <c r="U106" s="45">
        <f t="shared" si="80"/>
        <v>0.30913084421684212</v>
      </c>
      <c r="V106" s="45">
        <f t="shared" si="80"/>
        <v>0.28332889839302938</v>
      </c>
      <c r="W106" s="45">
        <f t="shared" si="80"/>
        <v>0.19615659209900047</v>
      </c>
      <c r="X106" s="45">
        <f t="shared" si="80"/>
        <v>0.18436711531880917</v>
      </c>
    </row>
    <row r="107" spans="2:24" x14ac:dyDescent="0.25">
      <c r="B107" s="6" t="s">
        <v>81</v>
      </c>
      <c r="C107" s="6"/>
      <c r="D107" s="35"/>
      <c r="E107" s="35"/>
      <c r="F107" s="35"/>
      <c r="G107" s="45">
        <f t="shared" ref="G107:X107" si="81">+G95/+G18</f>
        <v>1.399966145911123</v>
      </c>
      <c r="H107" s="45">
        <f t="shared" si="81"/>
        <v>2.3867514140157002</v>
      </c>
      <c r="I107" s="45">
        <f t="shared" si="81"/>
        <v>2.6914682438120172</v>
      </c>
      <c r="J107" s="45">
        <f t="shared" si="81"/>
        <v>3.6690827123354222</v>
      </c>
      <c r="K107" s="45">
        <f t="shared" si="81"/>
        <v>4.9440356157131715</v>
      </c>
      <c r="L107" s="45">
        <f t="shared" si="81"/>
        <v>4.2139363033371895</v>
      </c>
      <c r="M107" s="45">
        <f t="shared" si="81"/>
        <v>3.2931495983825654</v>
      </c>
      <c r="N107" s="45">
        <f t="shared" si="81"/>
        <v>4.3574263472359878</v>
      </c>
      <c r="O107" s="45">
        <f t="shared" si="81"/>
        <v>5.475891359581528</v>
      </c>
      <c r="P107" s="45">
        <f t="shared" si="81"/>
        <v>6.4555801809389504</v>
      </c>
      <c r="Q107" s="45">
        <f t="shared" si="81"/>
        <v>4.515973594620994</v>
      </c>
      <c r="R107" s="45">
        <f t="shared" si="81"/>
        <v>4.066818763618798</v>
      </c>
      <c r="S107" s="45">
        <f t="shared" si="81"/>
        <v>3.0844241183559906</v>
      </c>
      <c r="T107" s="45">
        <f t="shared" si="81"/>
        <v>2.3543640342019501</v>
      </c>
      <c r="U107" s="45">
        <f t="shared" si="81"/>
        <v>1.6925719669927455</v>
      </c>
      <c r="V107" s="45">
        <f t="shared" si="81"/>
        <v>2.3206850418761911</v>
      </c>
      <c r="W107" s="45">
        <f t="shared" si="81"/>
        <v>3.1916680665210819</v>
      </c>
      <c r="X107" s="45">
        <f t="shared" si="81"/>
        <v>2.7188146106133706</v>
      </c>
    </row>
    <row r="108" spans="2:24" ht="30" x14ac:dyDescent="0.25">
      <c r="B108" s="47" t="s">
        <v>159</v>
      </c>
      <c r="C108" s="6"/>
      <c r="D108" s="35"/>
      <c r="E108" s="35"/>
      <c r="F108" s="35"/>
      <c r="G108" s="45">
        <f>(+G22/G18)*0.6</f>
        <v>1.6403597992651673</v>
      </c>
      <c r="H108" s="45">
        <f t="shared" ref="H108:X108" si="82">+H22/H18</f>
        <v>2.9652847555329771</v>
      </c>
      <c r="I108" s="45">
        <f t="shared" si="82"/>
        <v>1.5547439687168829</v>
      </c>
      <c r="J108" s="45">
        <f t="shared" si="82"/>
        <v>2.1117312125129311</v>
      </c>
      <c r="K108" s="45">
        <f t="shared" si="82"/>
        <v>2.4725833402324398</v>
      </c>
      <c r="L108" s="45">
        <f t="shared" si="82"/>
        <v>2.2418832944624976</v>
      </c>
      <c r="M108" s="45">
        <f t="shared" si="82"/>
        <v>2.3359454898253387</v>
      </c>
      <c r="N108" s="45">
        <f t="shared" si="82"/>
        <v>2.5276603703775247</v>
      </c>
      <c r="O108" s="45">
        <f t="shared" si="82"/>
        <v>2.3616163122055718</v>
      </c>
      <c r="P108" s="45">
        <f t="shared" si="82"/>
        <v>3.0371262135783206</v>
      </c>
      <c r="Q108" s="45">
        <f t="shared" si="82"/>
        <v>1.8829554777728135</v>
      </c>
      <c r="R108" s="45">
        <f t="shared" si="82"/>
        <v>3.1036352703084047</v>
      </c>
      <c r="S108" s="45">
        <f t="shared" si="82"/>
        <v>3.2604478243585002</v>
      </c>
      <c r="T108" s="45">
        <f t="shared" si="82"/>
        <v>1.9845721700186465</v>
      </c>
      <c r="U108" s="45">
        <f t="shared" si="82"/>
        <v>1.2038116954154878</v>
      </c>
      <c r="V108" s="45">
        <f t="shared" si="82"/>
        <v>1.5992090953201217</v>
      </c>
      <c r="W108" s="45">
        <f t="shared" si="82"/>
        <v>1.8234503611624391</v>
      </c>
      <c r="X108" s="45">
        <f t="shared" si="82"/>
        <v>2.0210199862164027</v>
      </c>
    </row>
    <row r="109" spans="2:24" x14ac:dyDescent="0.25">
      <c r="B109" s="6" t="s">
        <v>82</v>
      </c>
      <c r="C109" s="6"/>
      <c r="D109" s="35"/>
      <c r="E109" s="35"/>
      <c r="F109" s="35"/>
      <c r="G109" s="45">
        <f>(+(+G37+F37+E37+D37)/+G14)*0.999</f>
        <v>0.84280944133391067</v>
      </c>
      <c r="H109" s="45">
        <f t="shared" ref="H109:X109" si="83">+(+H37+G37+F37+E37)/+H14</f>
        <v>0.81083592784281533</v>
      </c>
      <c r="I109" s="45">
        <f t="shared" si="83"/>
        <v>0.77125251894136349</v>
      </c>
      <c r="J109" s="45">
        <f t="shared" si="83"/>
        <v>0.78921019429608552</v>
      </c>
      <c r="K109" s="45">
        <f t="shared" si="83"/>
        <v>0.81394010377141812</v>
      </c>
      <c r="L109" s="45">
        <f t="shared" si="83"/>
        <v>0.7964241818776967</v>
      </c>
      <c r="M109" s="45">
        <f t="shared" si="83"/>
        <v>0.79774654198968165</v>
      </c>
      <c r="N109" s="45">
        <f t="shared" si="83"/>
        <v>0.82715374656451957</v>
      </c>
      <c r="O109" s="45">
        <f t="shared" si="83"/>
        <v>0.78935633518039805</v>
      </c>
      <c r="P109" s="45">
        <f t="shared" si="83"/>
        <v>0.82141444787292406</v>
      </c>
      <c r="Q109" s="45">
        <f t="shared" si="83"/>
        <v>0.80213992251216404</v>
      </c>
      <c r="R109" s="45">
        <f t="shared" si="83"/>
        <v>0.80947484350263299</v>
      </c>
      <c r="S109" s="45">
        <f t="shared" si="83"/>
        <v>0.72354916433837491</v>
      </c>
      <c r="T109" s="45">
        <f t="shared" si="83"/>
        <v>0.63031786639053977</v>
      </c>
      <c r="U109" s="45">
        <f t="shared" si="83"/>
        <v>0.6355314972776861</v>
      </c>
      <c r="V109" s="45">
        <f t="shared" si="83"/>
        <v>0.73956514166194631</v>
      </c>
      <c r="W109" s="45">
        <f t="shared" si="83"/>
        <v>0.79441337458353167</v>
      </c>
      <c r="X109" s="45">
        <f t="shared" si="83"/>
        <v>0.77327443823428765</v>
      </c>
    </row>
    <row r="111" spans="2:24" x14ac:dyDescent="0.25">
      <c r="B111" s="1" t="s">
        <v>157</v>
      </c>
      <c r="C111" s="1"/>
      <c r="G111" s="46">
        <f t="shared" ref="G111:J111" si="84">+G104+G105+G106+G107+G109</f>
        <v>4.0082003759381788</v>
      </c>
      <c r="H111" s="46">
        <f t="shared" si="84"/>
        <v>4.2323797211635892</v>
      </c>
      <c r="I111" s="46">
        <f t="shared" si="84"/>
        <v>4.2251934197205978</v>
      </c>
      <c r="J111" s="46">
        <f t="shared" si="84"/>
        <v>5.3157841549920395</v>
      </c>
      <c r="K111" s="46">
        <f t="shared" ref="K111:X111" si="85">+K104+K105+K106+K107+K109</f>
        <v>6.6807424379518991</v>
      </c>
      <c r="L111" s="46">
        <f t="shared" ref="L111" si="86">+L104+L105+L106+L107+L109</f>
        <v>5.9317119537567624</v>
      </c>
      <c r="M111" s="46">
        <f t="shared" si="85"/>
        <v>5.0408378098025661</v>
      </c>
      <c r="N111" s="46">
        <f t="shared" si="85"/>
        <v>6.1774932332405621</v>
      </c>
      <c r="O111" s="46">
        <f t="shared" si="85"/>
        <v>7.2565158381481529</v>
      </c>
      <c r="P111" s="46">
        <f t="shared" si="85"/>
        <v>8.375216658078898</v>
      </c>
      <c r="Q111" s="46">
        <f t="shared" si="85"/>
        <v>6.308506754124668</v>
      </c>
      <c r="R111" s="46">
        <f t="shared" si="85"/>
        <v>6.1063151381572984</v>
      </c>
      <c r="S111" s="46">
        <f t="shared" si="85"/>
        <v>5.1048193716714954</v>
      </c>
      <c r="T111" s="46">
        <f t="shared" si="85"/>
        <v>3.9698859903252046</v>
      </c>
      <c r="U111" s="46">
        <f t="shared" si="85"/>
        <v>3.0694134080508206</v>
      </c>
      <c r="V111" s="46">
        <f t="shared" si="85"/>
        <v>3.8902656546005177</v>
      </c>
      <c r="W111" s="46">
        <f t="shared" si="85"/>
        <v>4.8359446015044236</v>
      </c>
      <c r="X111" s="46">
        <f t="shared" si="85"/>
        <v>4.3874469534900671</v>
      </c>
    </row>
    <row r="112" spans="2:24" ht="30" x14ac:dyDescent="0.25">
      <c r="B112" s="47" t="s">
        <v>158</v>
      </c>
      <c r="C112" s="1"/>
      <c r="G112" s="46">
        <f t="shared" ref="G112:J112" si="87">+G104+G105+G106+G108+G109</f>
        <v>4.2485940292922235</v>
      </c>
      <c r="H112" s="46">
        <f t="shared" si="87"/>
        <v>4.810913062680866</v>
      </c>
      <c r="I112" s="46">
        <f t="shared" si="87"/>
        <v>3.0884691446254635</v>
      </c>
      <c r="J112" s="46">
        <f t="shared" si="87"/>
        <v>3.7584326551695488</v>
      </c>
      <c r="K112" s="46">
        <f t="shared" ref="K112:X112" si="88">+K104+K105+K106+K108+K109</f>
        <v>4.2092901624711674</v>
      </c>
      <c r="L112" s="46">
        <f t="shared" ref="L112" si="89">+L104+L105+L106+L108+L109</f>
        <v>3.9596589448820705</v>
      </c>
      <c r="M112" s="46">
        <f t="shared" si="88"/>
        <v>4.0836337012453399</v>
      </c>
      <c r="N112" s="46">
        <f t="shared" si="88"/>
        <v>4.3477272563820986</v>
      </c>
      <c r="O112" s="46">
        <f t="shared" si="88"/>
        <v>4.1422407907721972</v>
      </c>
      <c r="P112" s="46">
        <f t="shared" si="88"/>
        <v>4.9567626907182696</v>
      </c>
      <c r="Q112" s="46">
        <f t="shared" si="88"/>
        <v>3.6754886372764877</v>
      </c>
      <c r="R112" s="46">
        <f t="shared" si="88"/>
        <v>5.1431316448469051</v>
      </c>
      <c r="S112" s="46">
        <f t="shared" si="88"/>
        <v>5.280843077674005</v>
      </c>
      <c r="T112" s="46">
        <f t="shared" si="88"/>
        <v>3.6000941261419008</v>
      </c>
      <c r="U112" s="46">
        <f t="shared" si="88"/>
        <v>2.5806531364735634</v>
      </c>
      <c r="V112" s="46">
        <f t="shared" si="88"/>
        <v>3.1687897080444487</v>
      </c>
      <c r="W112" s="46">
        <f t="shared" si="88"/>
        <v>3.4677268961457806</v>
      </c>
      <c r="X112" s="46">
        <f t="shared" si="88"/>
        <v>3.6896523290930991</v>
      </c>
    </row>
    <row r="114" spans="2:24" x14ac:dyDescent="0.25">
      <c r="B114" s="9" t="s">
        <v>83</v>
      </c>
      <c r="C114" s="11"/>
      <c r="D114" s="11"/>
      <c r="E114" s="11"/>
      <c r="F114" s="11"/>
    </row>
    <row r="116" spans="2:24" ht="30" x14ac:dyDescent="0.25">
      <c r="B116" s="13" t="s">
        <v>84</v>
      </c>
      <c r="C116" s="13" t="s">
        <v>150</v>
      </c>
      <c r="D116" s="34"/>
      <c r="E116" s="34"/>
      <c r="F116" s="34"/>
      <c r="G116" s="4">
        <f t="shared" ref="G116:X116" si="90">(+G14-G17)/G48/1000</f>
        <v>64.160645000000002</v>
      </c>
      <c r="H116" s="4">
        <f t="shared" si="90"/>
        <v>65.374345000000005</v>
      </c>
      <c r="I116" s="4">
        <f t="shared" si="90"/>
        <v>55.722004999999996</v>
      </c>
      <c r="J116" s="4">
        <f t="shared" si="90"/>
        <v>58.610334999999999</v>
      </c>
      <c r="K116" s="4">
        <f t="shared" si="90"/>
        <v>62.939080000000004</v>
      </c>
      <c r="L116" s="4">
        <f t="shared" si="90"/>
        <v>68.732190000000003</v>
      </c>
      <c r="M116" s="4">
        <f t="shared" si="90"/>
        <v>74.878240000000005</v>
      </c>
      <c r="N116" s="4">
        <f t="shared" si="90"/>
        <v>81.172169999999994</v>
      </c>
      <c r="O116" s="4">
        <f t="shared" si="90"/>
        <v>89.189460000000011</v>
      </c>
      <c r="P116" s="4">
        <f t="shared" si="90"/>
        <v>98.148274999999998</v>
      </c>
      <c r="Q116" s="4">
        <f t="shared" si="90"/>
        <v>94.594329999999999</v>
      </c>
      <c r="R116" s="4">
        <f t="shared" si="90"/>
        <v>113.62133</v>
      </c>
      <c r="S116" s="4">
        <f t="shared" si="90"/>
        <v>130.94365999999999</v>
      </c>
      <c r="T116" s="4">
        <f t="shared" si="90"/>
        <v>156.11804500000002</v>
      </c>
      <c r="U116" s="4">
        <f t="shared" si="90"/>
        <v>141.01853</v>
      </c>
      <c r="V116" s="4">
        <f t="shared" si="90"/>
        <v>141.52638000000002</v>
      </c>
      <c r="W116" s="4">
        <f t="shared" si="90"/>
        <v>144.15</v>
      </c>
      <c r="X116" s="4">
        <f t="shared" si="90"/>
        <v>155.13</v>
      </c>
    </row>
    <row r="117" spans="2:24" x14ac:dyDescent="0.25">
      <c r="B117" s="1" t="s">
        <v>138</v>
      </c>
      <c r="C117" s="1" t="s">
        <v>150</v>
      </c>
      <c r="D117" s="5"/>
      <c r="E117" s="5"/>
      <c r="F117" s="5"/>
      <c r="G117" s="4">
        <f t="shared" ref="G117:X117" si="91">-G16/+G48/1000</f>
        <v>-9.246319999999999</v>
      </c>
      <c r="H117" s="4">
        <f t="shared" si="91"/>
        <v>-8.6093799999999998</v>
      </c>
      <c r="I117" s="4">
        <f t="shared" si="91"/>
        <v>-8.6430049999999987</v>
      </c>
      <c r="J117" s="4">
        <f t="shared" si="91"/>
        <v>-8.8830349999999996</v>
      </c>
      <c r="K117" s="4">
        <f t="shared" si="91"/>
        <v>-9.9269549999999995</v>
      </c>
      <c r="L117" s="4">
        <f t="shared" si="91"/>
        <v>-11.859635000000001</v>
      </c>
      <c r="M117" s="4">
        <f t="shared" si="91"/>
        <v>-12.031180000000001</v>
      </c>
      <c r="N117" s="4">
        <f t="shared" si="91"/>
        <v>-13.128665000000002</v>
      </c>
      <c r="O117" s="4">
        <f t="shared" si="91"/>
        <v>-14.578844999999999</v>
      </c>
      <c r="P117" s="4">
        <f t="shared" si="91"/>
        <v>-13.370434999999999</v>
      </c>
      <c r="Q117" s="4">
        <f t="shared" si="91"/>
        <v>-12.454295</v>
      </c>
      <c r="R117" s="4">
        <f t="shared" si="91"/>
        <v>-13.647309999999999</v>
      </c>
      <c r="S117" s="4">
        <f t="shared" si="91"/>
        <v>-14.031874999999999</v>
      </c>
      <c r="T117" s="4">
        <f t="shared" si="91"/>
        <v>-35.49427</v>
      </c>
      <c r="U117" s="4">
        <f t="shared" si="91"/>
        <v>-37.889859999999999</v>
      </c>
      <c r="V117" s="4">
        <f t="shared" si="91"/>
        <v>-36.436985</v>
      </c>
      <c r="W117" s="4">
        <f t="shared" si="91"/>
        <v>-35.6</v>
      </c>
      <c r="X117" s="4">
        <f t="shared" si="91"/>
        <v>-37.83</v>
      </c>
    </row>
    <row r="118" spans="2:24" x14ac:dyDescent="0.25"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</row>
    <row r="119" spans="2:24" x14ac:dyDescent="0.25">
      <c r="B119" s="1" t="s">
        <v>73</v>
      </c>
      <c r="C119" s="1" t="s">
        <v>150</v>
      </c>
      <c r="D119" s="5"/>
      <c r="E119" s="5"/>
      <c r="F119" s="5"/>
      <c r="G119" s="4">
        <f>+G116+G117</f>
        <v>54.914325000000005</v>
      </c>
      <c r="H119" s="4">
        <f t="shared" ref="H119:X119" si="92">+H116+H117</f>
        <v>56.764965000000004</v>
      </c>
      <c r="I119" s="4">
        <f t="shared" si="92"/>
        <v>47.078999999999994</v>
      </c>
      <c r="J119" s="4">
        <f t="shared" si="92"/>
        <v>49.7273</v>
      </c>
      <c r="K119" s="4">
        <f t="shared" si="92"/>
        <v>53.012125000000005</v>
      </c>
      <c r="L119" s="4">
        <f t="shared" si="92"/>
        <v>56.872555000000006</v>
      </c>
      <c r="M119" s="4">
        <f t="shared" si="92"/>
        <v>62.847060000000006</v>
      </c>
      <c r="N119" s="4">
        <f t="shared" si="92"/>
        <v>68.043504999999996</v>
      </c>
      <c r="O119" s="4">
        <f t="shared" si="92"/>
        <v>74.61061500000001</v>
      </c>
      <c r="P119" s="4">
        <f t="shared" si="92"/>
        <v>84.777839999999998</v>
      </c>
      <c r="Q119" s="4">
        <f t="shared" si="92"/>
        <v>82.140034999999997</v>
      </c>
      <c r="R119" s="4">
        <f t="shared" si="92"/>
        <v>99.974019999999996</v>
      </c>
      <c r="S119" s="4">
        <f t="shared" si="92"/>
        <v>116.91178499999999</v>
      </c>
      <c r="T119" s="4">
        <f t="shared" si="92"/>
        <v>120.62377500000002</v>
      </c>
      <c r="U119" s="4">
        <f t="shared" si="92"/>
        <v>103.12867</v>
      </c>
      <c r="V119" s="4">
        <f t="shared" si="92"/>
        <v>105.08939500000002</v>
      </c>
      <c r="W119" s="4">
        <f t="shared" si="92"/>
        <v>108.55000000000001</v>
      </c>
      <c r="X119" s="4">
        <f t="shared" si="92"/>
        <v>117.3</v>
      </c>
    </row>
    <row r="120" spans="2:24" x14ac:dyDescent="0.25"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</row>
    <row r="121" spans="2:24" x14ac:dyDescent="0.25">
      <c r="B121" s="1" t="s">
        <v>85</v>
      </c>
      <c r="C121" s="1" t="s">
        <v>150</v>
      </c>
      <c r="D121" s="5"/>
      <c r="E121" s="5"/>
      <c r="F121" s="5"/>
      <c r="G121" s="4">
        <f t="shared" ref="G121:X121" si="93">+G50</f>
        <v>9</v>
      </c>
      <c r="H121" s="4">
        <f t="shared" si="93"/>
        <v>9</v>
      </c>
      <c r="I121" s="4">
        <f t="shared" si="93"/>
        <v>9</v>
      </c>
      <c r="J121" s="4">
        <f t="shared" si="93"/>
        <v>11.68</v>
      </c>
      <c r="K121" s="4">
        <f t="shared" si="93"/>
        <v>11.68</v>
      </c>
      <c r="L121" s="4">
        <f t="shared" si="93"/>
        <v>11.68</v>
      </c>
      <c r="M121" s="4">
        <f t="shared" si="93"/>
        <v>11.68</v>
      </c>
      <c r="N121" s="4">
        <f t="shared" si="93"/>
        <v>3</v>
      </c>
      <c r="O121" s="4">
        <f t="shared" si="93"/>
        <v>3</v>
      </c>
      <c r="P121" s="4">
        <f t="shared" si="93"/>
        <v>3</v>
      </c>
      <c r="Q121" s="4">
        <f t="shared" si="93"/>
        <v>3</v>
      </c>
      <c r="R121" s="4">
        <f t="shared" si="93"/>
        <v>14.9</v>
      </c>
      <c r="S121" s="4">
        <f t="shared" si="93"/>
        <v>14.9</v>
      </c>
      <c r="T121" s="4">
        <f t="shared" si="93"/>
        <v>14.9</v>
      </c>
      <c r="U121" s="4">
        <f t="shared" si="93"/>
        <v>14.9</v>
      </c>
      <c r="V121" s="4">
        <f t="shared" si="93"/>
        <v>28.34</v>
      </c>
      <c r="W121" s="4">
        <f t="shared" si="93"/>
        <v>28.34</v>
      </c>
      <c r="X121" s="4">
        <f t="shared" si="93"/>
        <v>28.34</v>
      </c>
    </row>
    <row r="122" spans="2:24" x14ac:dyDescent="0.25">
      <c r="B122" s="1" t="s">
        <v>86</v>
      </c>
      <c r="C122" s="1" t="s">
        <v>150</v>
      </c>
      <c r="D122" s="5"/>
      <c r="E122" s="5"/>
      <c r="F122" s="5"/>
      <c r="G122" s="4">
        <f t="shared" ref="G122:X122" si="94">+G124-G121-G116</f>
        <v>-45.040644999999998</v>
      </c>
      <c r="H122" s="4">
        <f t="shared" si="94"/>
        <v>-28.684345000000008</v>
      </c>
      <c r="I122" s="4">
        <f t="shared" si="94"/>
        <v>16.777995000000004</v>
      </c>
      <c r="J122" s="4">
        <f t="shared" si="94"/>
        <v>16.109665</v>
      </c>
      <c r="K122" s="4">
        <f t="shared" si="94"/>
        <v>31.380919999999989</v>
      </c>
      <c r="L122" s="4">
        <f t="shared" si="94"/>
        <v>26.487809999999996</v>
      </c>
      <c r="M122" s="4">
        <f t="shared" si="94"/>
        <v>2.0417599999999823</v>
      </c>
      <c r="N122" s="4">
        <f t="shared" si="94"/>
        <v>33.127830000000003</v>
      </c>
      <c r="O122" s="4">
        <f t="shared" si="94"/>
        <v>80.810539999999989</v>
      </c>
      <c r="P122" s="4">
        <f t="shared" si="94"/>
        <v>79.05172499999999</v>
      </c>
      <c r="Q122" s="4">
        <f t="shared" si="94"/>
        <v>99.405670000000001</v>
      </c>
      <c r="R122" s="4">
        <f t="shared" si="94"/>
        <v>2.4786699999999939</v>
      </c>
      <c r="S122" s="4">
        <f t="shared" si="94"/>
        <v>-35.243660000000006</v>
      </c>
      <c r="T122" s="4">
        <f t="shared" si="94"/>
        <v>-27.918045000000035</v>
      </c>
      <c r="U122" s="4">
        <f t="shared" si="94"/>
        <v>-10.918530000000004</v>
      </c>
      <c r="V122" s="4">
        <f t="shared" si="94"/>
        <v>-17.366380000000021</v>
      </c>
      <c r="W122" s="4">
        <f t="shared" si="94"/>
        <v>17.509999999999991</v>
      </c>
      <c r="X122" s="4">
        <f t="shared" si="94"/>
        <v>-25.669999999999987</v>
      </c>
    </row>
    <row r="123" spans="2:24" x14ac:dyDescent="0.25">
      <c r="G123" s="5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2:24" x14ac:dyDescent="0.25">
      <c r="B124" s="1" t="s">
        <v>87</v>
      </c>
      <c r="C124" s="1" t="s">
        <v>128</v>
      </c>
      <c r="D124" s="5"/>
      <c r="E124" s="5"/>
      <c r="F124" s="5"/>
      <c r="G124" s="55">
        <f t="shared" ref="G124:X124" si="95">+G54</f>
        <v>28.12</v>
      </c>
      <c r="H124" s="4">
        <f t="shared" si="95"/>
        <v>45.69</v>
      </c>
      <c r="I124" s="4">
        <f t="shared" si="95"/>
        <v>81.5</v>
      </c>
      <c r="J124" s="4">
        <f t="shared" si="95"/>
        <v>86.4</v>
      </c>
      <c r="K124" s="4">
        <f t="shared" si="95"/>
        <v>106</v>
      </c>
      <c r="L124" s="4">
        <f t="shared" si="95"/>
        <v>106.9</v>
      </c>
      <c r="M124" s="4">
        <f t="shared" si="95"/>
        <v>88.6</v>
      </c>
      <c r="N124" s="4">
        <f t="shared" si="95"/>
        <v>117.3</v>
      </c>
      <c r="O124" s="4">
        <f t="shared" si="95"/>
        <v>173</v>
      </c>
      <c r="P124" s="4">
        <f t="shared" si="95"/>
        <v>180.2</v>
      </c>
      <c r="Q124" s="4">
        <f t="shared" si="95"/>
        <v>197</v>
      </c>
      <c r="R124" s="4">
        <f t="shared" si="95"/>
        <v>131</v>
      </c>
      <c r="S124" s="4">
        <f t="shared" si="95"/>
        <v>110.6</v>
      </c>
      <c r="T124" s="4">
        <f t="shared" si="95"/>
        <v>143.1</v>
      </c>
      <c r="U124" s="4">
        <f t="shared" si="95"/>
        <v>145</v>
      </c>
      <c r="V124" s="4">
        <f t="shared" si="95"/>
        <v>152.5</v>
      </c>
      <c r="W124" s="4">
        <f t="shared" si="95"/>
        <v>190</v>
      </c>
      <c r="X124" s="4">
        <f t="shared" si="95"/>
        <v>157.80000000000001</v>
      </c>
    </row>
    <row r="126" spans="2:24" x14ac:dyDescent="0.25">
      <c r="B126" s="1" t="s">
        <v>46</v>
      </c>
      <c r="D126" s="2">
        <v>2009</v>
      </c>
      <c r="E126" s="2">
        <v>2010</v>
      </c>
      <c r="F126" s="2">
        <v>2011</v>
      </c>
      <c r="G126" s="2">
        <v>2012</v>
      </c>
      <c r="H126" s="2" t="s">
        <v>51</v>
      </c>
      <c r="I126" s="2" t="s">
        <v>53</v>
      </c>
      <c r="J126" s="2" t="s">
        <v>54</v>
      </c>
      <c r="K126" s="2" t="s">
        <v>52</v>
      </c>
    </row>
    <row r="128" spans="2:24" x14ac:dyDescent="0.25">
      <c r="C128" s="1" t="s">
        <v>47</v>
      </c>
      <c r="D128" s="3">
        <f>+H37</f>
        <v>2619934</v>
      </c>
      <c r="E128" s="3">
        <f>+L37</f>
        <v>3599730</v>
      </c>
      <c r="F128" s="3">
        <f>+P37</f>
        <v>5346540</v>
      </c>
      <c r="G128" s="3">
        <f>+T37</f>
        <v>6107812</v>
      </c>
      <c r="H128" s="3">
        <f>SUM(D128:G128)</f>
        <v>17674016</v>
      </c>
      <c r="I128" s="3">
        <f>COUNT(D128:G128)</f>
        <v>4</v>
      </c>
      <c r="J128" s="3">
        <f>+H128/I128</f>
        <v>4418504</v>
      </c>
      <c r="K128" s="20">
        <f>+J128/J133</f>
        <v>0.23429763087183603</v>
      </c>
    </row>
    <row r="129" spans="2:11" x14ac:dyDescent="0.25">
      <c r="C129" s="1" t="s">
        <v>48</v>
      </c>
      <c r="D129" s="3">
        <f>+I37</f>
        <v>2991980</v>
      </c>
      <c r="E129" s="3">
        <f>+M37</f>
        <v>4212047</v>
      </c>
      <c r="F129" s="3">
        <f>+Q37</f>
        <v>5874632</v>
      </c>
      <c r="G129" s="3">
        <f>+U37</f>
        <v>7003432</v>
      </c>
      <c r="H129" s="3">
        <f>SUM(D129:G129)</f>
        <v>20082091</v>
      </c>
      <c r="I129" s="3">
        <f>COUNT(D129:G129)</f>
        <v>4</v>
      </c>
      <c r="J129" s="3">
        <f>+H129/I129</f>
        <v>5020522.75</v>
      </c>
      <c r="K129" s="20">
        <f>+J129/J133</f>
        <v>0.26622055475408762</v>
      </c>
    </row>
    <row r="130" spans="2:11" x14ac:dyDescent="0.25">
      <c r="C130" s="1" t="s">
        <v>49</v>
      </c>
      <c r="D130" s="3">
        <f>+J37</f>
        <v>2906197</v>
      </c>
      <c r="E130" s="3">
        <f>+N37</f>
        <v>4296235</v>
      </c>
      <c r="F130" s="3">
        <f>+R37</f>
        <v>5520573</v>
      </c>
      <c r="G130" s="3">
        <f>+V37</f>
        <v>6787223</v>
      </c>
      <c r="H130" s="3">
        <f>SUM(D130:G130)</f>
        <v>19510228</v>
      </c>
      <c r="I130" s="3">
        <f>COUNT(D130:G130)</f>
        <v>4</v>
      </c>
      <c r="J130" s="3">
        <f>+H130/I130</f>
        <v>4877557</v>
      </c>
      <c r="K130" s="20">
        <f>+J130/J133</f>
        <v>0.25863958696027883</v>
      </c>
    </row>
    <row r="131" spans="2:11" x14ac:dyDescent="0.25">
      <c r="C131" s="1" t="s">
        <v>50</v>
      </c>
      <c r="D131" s="3">
        <f>+K37</f>
        <v>3601799</v>
      </c>
      <c r="E131" s="3">
        <f>+O37</f>
        <v>4658492</v>
      </c>
      <c r="F131" s="3">
        <f>+S37</f>
        <v>5365485</v>
      </c>
      <c r="G131" s="3"/>
      <c r="H131" s="3">
        <f>SUM(D131:G131)</f>
        <v>13625776</v>
      </c>
      <c r="I131" s="3">
        <f>COUNT(D131:G131)</f>
        <v>3</v>
      </c>
      <c r="J131" s="3">
        <f>+H131/I131</f>
        <v>4541925.333333333</v>
      </c>
      <c r="K131" s="20">
        <f>+J131/J133</f>
        <v>0.24084222741379754</v>
      </c>
    </row>
    <row r="132" spans="2:11" x14ac:dyDescent="0.25">
      <c r="K132" s="23"/>
    </row>
    <row r="133" spans="2:11" x14ac:dyDescent="0.25">
      <c r="C133" s="1" t="s">
        <v>51</v>
      </c>
      <c r="D133" s="3">
        <f>SUM(D128:D132)</f>
        <v>12119910</v>
      </c>
      <c r="E133" s="3">
        <f>SUM(E128:E132)</f>
        <v>16766504</v>
      </c>
      <c r="F133" s="3">
        <f>SUM(F128:F132)</f>
        <v>22107230</v>
      </c>
      <c r="G133" s="3">
        <f>SUM(G128:G132)</f>
        <v>19898467</v>
      </c>
      <c r="H133" s="3">
        <f>SUM(D133:G133)</f>
        <v>70892111</v>
      </c>
      <c r="I133" s="21"/>
      <c r="J133" s="3">
        <f>SUM(J128:J132)</f>
        <v>18858509.083333332</v>
      </c>
      <c r="K133" s="20">
        <f>SUM(K128:K132)</f>
        <v>1</v>
      </c>
    </row>
    <row r="134" spans="2:11" x14ac:dyDescent="0.25">
      <c r="H134" s="3">
        <f>SUM(H128:H131)</f>
        <v>70892111</v>
      </c>
    </row>
    <row r="136" spans="2:11" ht="30" x14ac:dyDescent="0.25">
      <c r="B136" s="13" t="s">
        <v>136</v>
      </c>
      <c r="D136" s="2">
        <v>2009</v>
      </c>
      <c r="E136" s="2">
        <v>2010</v>
      </c>
      <c r="F136" s="2">
        <v>2011</v>
      </c>
      <c r="G136" s="2">
        <v>2012</v>
      </c>
      <c r="H136" s="2" t="s">
        <v>51</v>
      </c>
      <c r="I136" s="2" t="s">
        <v>53</v>
      </c>
      <c r="J136" s="2" t="s">
        <v>54</v>
      </c>
      <c r="K136" s="2" t="s">
        <v>52</v>
      </c>
    </row>
    <row r="138" spans="2:11" x14ac:dyDescent="0.25">
      <c r="C138" s="1" t="s">
        <v>47</v>
      </c>
      <c r="D138" s="3">
        <f>+H38</f>
        <v>1785890</v>
      </c>
      <c r="E138" s="3">
        <f>+L38</f>
        <v>2652826</v>
      </c>
      <c r="F138" s="3">
        <f>+P38</f>
        <v>2888580</v>
      </c>
      <c r="G138" s="3">
        <f>+T38</f>
        <v>4351198</v>
      </c>
      <c r="H138" s="3">
        <f>SUM(D138:G138)</f>
        <v>11678494</v>
      </c>
      <c r="I138" s="3">
        <f>COUNT(D138:G138)</f>
        <v>4</v>
      </c>
      <c r="J138" s="3">
        <f>+H138/I138</f>
        <v>2919623.5</v>
      </c>
      <c r="K138" s="20">
        <f>+J138/J143</f>
        <v>0.25071993774588297</v>
      </c>
    </row>
    <row r="139" spans="2:11" x14ac:dyDescent="0.25">
      <c r="C139" s="1" t="s">
        <v>48</v>
      </c>
      <c r="D139" s="3">
        <f>+I38</f>
        <v>2367453</v>
      </c>
      <c r="E139" s="3">
        <f>+M38</f>
        <v>2361555</v>
      </c>
      <c r="F139" s="3">
        <f>+Q38</f>
        <v>3231586</v>
      </c>
      <c r="G139" s="3">
        <f>+U38</f>
        <v>5140087</v>
      </c>
      <c r="H139" s="3">
        <f>SUM(D139:G139)</f>
        <v>13100681</v>
      </c>
      <c r="I139" s="3">
        <f>COUNT(D139:G139)</f>
        <v>4</v>
      </c>
      <c r="J139" s="3">
        <f>+H139/I139</f>
        <v>3275170.25</v>
      </c>
      <c r="K139" s="20">
        <f>+J139/J143</f>
        <v>0.28125218240885097</v>
      </c>
    </row>
    <row r="140" spans="2:11" x14ac:dyDescent="0.25">
      <c r="C140" s="1" t="s">
        <v>49</v>
      </c>
      <c r="D140" s="3">
        <f>+J38</f>
        <v>2418190</v>
      </c>
      <c r="E140" s="3">
        <f>+N38</f>
        <v>3099433</v>
      </c>
      <c r="F140" s="3">
        <f>+R38</f>
        <v>1836018</v>
      </c>
      <c r="G140" s="3">
        <f>+V38</f>
        <v>5096599</v>
      </c>
      <c r="H140" s="3">
        <f>SUM(D140:G140)</f>
        <v>12450240</v>
      </c>
      <c r="I140" s="3">
        <f>COUNT(D140:G140)</f>
        <v>4</v>
      </c>
      <c r="J140" s="3">
        <f>+H140/I140</f>
        <v>3112560</v>
      </c>
      <c r="K140" s="20">
        <f>+J140/J143</f>
        <v>0.26728817925678616</v>
      </c>
    </row>
    <row r="141" spans="2:11" x14ac:dyDescent="0.25">
      <c r="C141" s="1" t="s">
        <v>50</v>
      </c>
      <c r="D141" s="3">
        <f>+K38</f>
        <v>2869039</v>
      </c>
      <c r="E141" s="3">
        <f>+O38</f>
        <v>3146381</v>
      </c>
      <c r="F141" s="3">
        <f>+S38</f>
        <v>997397</v>
      </c>
      <c r="G141" s="3"/>
      <c r="H141" s="3">
        <f>SUM(D141:G141)</f>
        <v>7012817</v>
      </c>
      <c r="I141" s="3">
        <f>COUNT(D141:G141)</f>
        <v>3</v>
      </c>
      <c r="J141" s="3">
        <f>+H141/I141</f>
        <v>2337605.6666666665</v>
      </c>
      <c r="K141" s="20">
        <f>+J141/J143</f>
        <v>0.20073970058847992</v>
      </c>
    </row>
    <row r="142" spans="2:11" x14ac:dyDescent="0.25">
      <c r="K142" s="23"/>
    </row>
    <row r="143" spans="2:11" x14ac:dyDescent="0.25">
      <c r="C143" s="1" t="s">
        <v>51</v>
      </c>
      <c r="D143" s="3">
        <f>SUM(D138:D142)</f>
        <v>9440572</v>
      </c>
      <c r="E143" s="3">
        <f>SUM(E138:E142)</f>
        <v>11260195</v>
      </c>
      <c r="F143" s="3">
        <f>SUM(F138:F142)</f>
        <v>8953581</v>
      </c>
      <c r="G143" s="3">
        <f>SUM(G138:G142)</f>
        <v>14587884</v>
      </c>
      <c r="H143" s="3">
        <f>SUM(D143:G143)</f>
        <v>44242232</v>
      </c>
      <c r="I143" s="21"/>
      <c r="J143" s="3">
        <f>SUM(J138:J142)</f>
        <v>11644959.416666666</v>
      </c>
      <c r="K143" s="20">
        <f>SUM(K138:K142)</f>
        <v>1</v>
      </c>
    </row>
    <row r="144" spans="2:11" x14ac:dyDescent="0.25">
      <c r="H144" s="3">
        <f>SUM(H138:H141)</f>
        <v>44242232</v>
      </c>
    </row>
    <row r="146" spans="2:11" x14ac:dyDescent="0.25">
      <c r="B146" s="1" t="s">
        <v>143</v>
      </c>
      <c r="D146" s="2">
        <v>2009</v>
      </c>
      <c r="E146" s="2">
        <v>2010</v>
      </c>
      <c r="F146" s="2">
        <v>2011</v>
      </c>
      <c r="G146" s="2">
        <v>2012</v>
      </c>
      <c r="H146" s="2" t="s">
        <v>51</v>
      </c>
      <c r="I146" s="2" t="s">
        <v>53</v>
      </c>
      <c r="J146" s="2" t="s">
        <v>54</v>
      </c>
      <c r="K146" s="2" t="s">
        <v>52</v>
      </c>
    </row>
    <row r="148" spans="2:11" x14ac:dyDescent="0.25">
      <c r="C148" s="1" t="s">
        <v>47</v>
      </c>
      <c r="D148" s="3">
        <f>+H40</f>
        <v>35565</v>
      </c>
      <c r="E148" s="3">
        <f>+L40</f>
        <v>59541</v>
      </c>
      <c r="F148" s="3">
        <f>+P40</f>
        <v>53770</v>
      </c>
      <c r="G148" s="3">
        <f>+T40</f>
        <v>-20056</v>
      </c>
      <c r="H148" s="3">
        <f>SUM(D148:G148)</f>
        <v>128820</v>
      </c>
      <c r="I148" s="3">
        <f>COUNT(D148:G148)</f>
        <v>4</v>
      </c>
      <c r="J148" s="3">
        <f>+H148/I148</f>
        <v>32205</v>
      </c>
      <c r="K148" s="20">
        <f>+J148/J153</f>
        <v>0.28534068330846346</v>
      </c>
    </row>
    <row r="149" spans="2:11" x14ac:dyDescent="0.25">
      <c r="C149" s="1" t="s">
        <v>48</v>
      </c>
      <c r="D149" s="3">
        <f>+I40</f>
        <v>83185</v>
      </c>
      <c r="E149" s="3">
        <f>+M40</f>
        <v>71491</v>
      </c>
      <c r="F149" s="3">
        <f>+Q40</f>
        <v>112220</v>
      </c>
      <c r="G149" s="3">
        <f>+U40</f>
        <v>-50294</v>
      </c>
      <c r="H149" s="3">
        <f>SUM(D149:G149)</f>
        <v>216602</v>
      </c>
      <c r="I149" s="3">
        <f>COUNT(D149:G149)</f>
        <v>4</v>
      </c>
      <c r="J149" s="3">
        <f>+H149/I149</f>
        <v>54150.5</v>
      </c>
      <c r="K149" s="20">
        <f>+J149/J153</f>
        <v>0.47978080023272629</v>
      </c>
    </row>
    <row r="150" spans="2:11" x14ac:dyDescent="0.25">
      <c r="C150" s="1" t="s">
        <v>49</v>
      </c>
      <c r="D150" s="3">
        <f>+J40</f>
        <v>73180</v>
      </c>
      <c r="E150" s="3">
        <f>+N40</f>
        <v>79195</v>
      </c>
      <c r="F150" s="3">
        <f>+R40</f>
        <v>-13401</v>
      </c>
      <c r="G150" s="3">
        <f>+V40</f>
        <v>-48861</v>
      </c>
      <c r="H150" s="3">
        <f>SUM(D150:G150)</f>
        <v>90113</v>
      </c>
      <c r="I150" s="3">
        <f>COUNT(D150:G150)</f>
        <v>4</v>
      </c>
      <c r="J150" s="3">
        <f>+H150/I150</f>
        <v>22528.25</v>
      </c>
      <c r="K150" s="20">
        <f>+J150/J153</f>
        <v>0.19960336124030092</v>
      </c>
    </row>
    <row r="151" spans="2:11" x14ac:dyDescent="0.25">
      <c r="C151" s="1" t="s">
        <v>50</v>
      </c>
      <c r="D151" s="3">
        <f>+K40</f>
        <v>2274</v>
      </c>
      <c r="E151" s="3">
        <f>+O40</f>
        <v>26235</v>
      </c>
      <c r="F151" s="3">
        <f>+S40</f>
        <v>-16565</v>
      </c>
      <c r="G151" s="3"/>
      <c r="H151" s="3">
        <f>SUM(D151:G151)</f>
        <v>11944</v>
      </c>
      <c r="I151" s="3">
        <f>COUNT(D151:G151)</f>
        <v>3</v>
      </c>
      <c r="J151" s="3">
        <f>+H151/I151</f>
        <v>3981.3333333333335</v>
      </c>
      <c r="K151" s="20">
        <f>+J151/J153</f>
        <v>3.5275155218509414E-2</v>
      </c>
    </row>
    <row r="152" spans="2:11" x14ac:dyDescent="0.25">
      <c r="K152" s="23"/>
    </row>
    <row r="153" spans="2:11" x14ac:dyDescent="0.25">
      <c r="C153" s="1" t="s">
        <v>51</v>
      </c>
      <c r="D153" s="3">
        <f>SUM(D148:D152)</f>
        <v>194204</v>
      </c>
      <c r="E153" s="3">
        <f>SUM(E148:E152)</f>
        <v>236462</v>
      </c>
      <c r="F153" s="3">
        <f>SUM(F148:F152)</f>
        <v>136024</v>
      </c>
      <c r="G153" s="3">
        <f>SUM(G148:G152)</f>
        <v>-119211</v>
      </c>
      <c r="H153" s="3">
        <f>SUM(D153:G153)</f>
        <v>447479</v>
      </c>
      <c r="I153" s="21"/>
      <c r="J153" s="3">
        <f>SUM(J148:J152)</f>
        <v>112865.08333333333</v>
      </c>
      <c r="K153" s="20">
        <f>SUM(K148:K152)</f>
        <v>1</v>
      </c>
    </row>
    <row r="154" spans="2:11" x14ac:dyDescent="0.25">
      <c r="H154" s="3">
        <f>SUM(H148:H151)</f>
        <v>447479</v>
      </c>
    </row>
    <row r="156" spans="2:11" x14ac:dyDescent="0.25">
      <c r="B156" s="1" t="s">
        <v>144</v>
      </c>
      <c r="D156" s="2">
        <v>2009</v>
      </c>
      <c r="E156" s="2">
        <v>2010</v>
      </c>
      <c r="F156" s="2">
        <v>2011</v>
      </c>
      <c r="G156" s="2">
        <v>2012</v>
      </c>
      <c r="H156" s="2" t="s">
        <v>51</v>
      </c>
      <c r="I156" s="2" t="s">
        <v>53</v>
      </c>
      <c r="J156" s="2" t="s">
        <v>54</v>
      </c>
      <c r="K156" s="2" t="s">
        <v>52</v>
      </c>
    </row>
    <row r="158" spans="2:11" x14ac:dyDescent="0.25">
      <c r="C158" s="1" t="s">
        <v>47</v>
      </c>
      <c r="D158" s="3">
        <f>+H42</f>
        <v>164687</v>
      </c>
      <c r="E158" s="3">
        <f>+L42</f>
        <v>177325</v>
      </c>
      <c r="F158" s="3">
        <f>+P42</f>
        <v>479517</v>
      </c>
      <c r="G158" s="3">
        <f>+T42</f>
        <v>363533</v>
      </c>
      <c r="H158" s="3">
        <f>SUM(D158:G158)</f>
        <v>1185062</v>
      </c>
      <c r="I158" s="3">
        <f>COUNT(D158:G158)</f>
        <v>4</v>
      </c>
      <c r="J158" s="3">
        <f>+H158/I158</f>
        <v>296265.5</v>
      </c>
      <c r="K158" s="20">
        <f>+J158/J163</f>
        <v>0.21790830616262094</v>
      </c>
    </row>
    <row r="159" spans="2:11" x14ac:dyDescent="0.25">
      <c r="C159" s="1" t="s">
        <v>48</v>
      </c>
      <c r="D159" s="3">
        <f>+I42</f>
        <v>121575</v>
      </c>
      <c r="E159" s="3">
        <f>+M42</f>
        <v>347825</v>
      </c>
      <c r="F159" s="3">
        <f>+Q42</f>
        <v>471159</v>
      </c>
      <c r="G159" s="3">
        <f>+U42</f>
        <v>471235</v>
      </c>
      <c r="H159" s="3">
        <f>SUM(D159:G159)</f>
        <v>1411794</v>
      </c>
      <c r="I159" s="3">
        <f>COUNT(D159:G159)</f>
        <v>4</v>
      </c>
      <c r="J159" s="3">
        <f>+H159/I159</f>
        <v>352948.5</v>
      </c>
      <c r="K159" s="20">
        <f>+J159/J163</f>
        <v>0.25959961520203273</v>
      </c>
    </row>
    <row r="160" spans="2:11" x14ac:dyDescent="0.25">
      <c r="C160" s="1" t="s">
        <v>49</v>
      </c>
      <c r="D160" s="3">
        <f>+J42</f>
        <v>95501</v>
      </c>
      <c r="E160" s="3">
        <f>+N42</f>
        <v>227621</v>
      </c>
      <c r="F160" s="3">
        <f>+R42</f>
        <v>474458</v>
      </c>
      <c r="G160" s="3">
        <f>+V42</f>
        <v>412809</v>
      </c>
      <c r="H160" s="3">
        <f>SUM(D160:G160)</f>
        <v>1210389</v>
      </c>
      <c r="I160" s="3">
        <f>COUNT(D160:G160)</f>
        <v>4</v>
      </c>
      <c r="J160" s="3">
        <f>+H160/I160</f>
        <v>302597.25</v>
      </c>
      <c r="K160" s="20">
        <f>+J160/J163</f>
        <v>0.22256541580766964</v>
      </c>
    </row>
    <row r="161" spans="2:11" x14ac:dyDescent="0.25">
      <c r="C161" s="1" t="s">
        <v>50</v>
      </c>
      <c r="D161" s="3">
        <f>+K42</f>
        <v>163218</v>
      </c>
      <c r="E161" s="3">
        <f>+O42</f>
        <v>259576</v>
      </c>
      <c r="F161" s="3">
        <f>+S42</f>
        <v>800536</v>
      </c>
      <c r="G161" s="3"/>
      <c r="H161" s="3">
        <f>SUM(D161:G161)</f>
        <v>1223330</v>
      </c>
      <c r="I161" s="3">
        <f>COUNT(D161:G161)</f>
        <v>3</v>
      </c>
      <c r="J161" s="3">
        <f>+H161/I161</f>
        <v>407776.66666666669</v>
      </c>
      <c r="K161" s="20">
        <f>+J161/J163</f>
        <v>0.29992666282767666</v>
      </c>
    </row>
    <row r="162" spans="2:11" x14ac:dyDescent="0.25">
      <c r="K162" s="23"/>
    </row>
    <row r="163" spans="2:11" x14ac:dyDescent="0.25">
      <c r="C163" s="1" t="s">
        <v>51</v>
      </c>
      <c r="D163" s="3">
        <f>SUM(D158:D162)</f>
        <v>544981</v>
      </c>
      <c r="E163" s="3">
        <f>SUM(E158:E162)</f>
        <v>1012347</v>
      </c>
      <c r="F163" s="3">
        <f>SUM(F158:F162)</f>
        <v>2225670</v>
      </c>
      <c r="G163" s="3">
        <f>SUM(G158:G162)</f>
        <v>1247577</v>
      </c>
      <c r="H163" s="3">
        <f>SUM(D163:G163)</f>
        <v>5030575</v>
      </c>
      <c r="I163" s="21"/>
      <c r="J163" s="3">
        <f>SUM(J158:J162)</f>
        <v>1359587.9166666667</v>
      </c>
      <c r="K163" s="20">
        <f>SUM(K158:K162)</f>
        <v>1</v>
      </c>
    </row>
    <row r="164" spans="2:11" x14ac:dyDescent="0.25">
      <c r="H164" s="3">
        <f>SUM(H158:H161)</f>
        <v>5030575</v>
      </c>
    </row>
    <row r="166" spans="2:11" x14ac:dyDescent="0.25">
      <c r="B166" s="1" t="s">
        <v>165</v>
      </c>
      <c r="D166" s="2">
        <v>2009</v>
      </c>
      <c r="E166" s="2">
        <v>2010</v>
      </c>
      <c r="F166" s="2">
        <v>2011</v>
      </c>
      <c r="G166" s="2">
        <v>2012</v>
      </c>
      <c r="H166" s="2" t="s">
        <v>51</v>
      </c>
      <c r="I166" s="2" t="s">
        <v>53</v>
      </c>
      <c r="J166" s="2" t="s">
        <v>54</v>
      </c>
      <c r="K166" s="2" t="s">
        <v>52</v>
      </c>
    </row>
    <row r="168" spans="2:11" x14ac:dyDescent="0.25">
      <c r="C168" s="1" t="s">
        <v>47</v>
      </c>
      <c r="D168" s="3">
        <f>+H44</f>
        <v>705356</v>
      </c>
      <c r="E168" s="3">
        <f>+L44</f>
        <v>826075</v>
      </c>
      <c r="F168" s="3">
        <f>+P44</f>
        <v>2031325</v>
      </c>
      <c r="G168" s="3">
        <f>+T44</f>
        <v>1372664</v>
      </c>
      <c r="H168" s="3">
        <f>SUM(D168:G168)</f>
        <v>4935420</v>
      </c>
      <c r="I168" s="3">
        <f>COUNT(D168:G168)</f>
        <v>4</v>
      </c>
      <c r="J168" s="3">
        <f>+H168/I168</f>
        <v>1233855</v>
      </c>
      <c r="K168" s="20">
        <f>+J168/J173</f>
        <v>0.20685444294333474</v>
      </c>
    </row>
    <row r="169" spans="2:11" x14ac:dyDescent="0.25">
      <c r="C169" s="1" t="s">
        <v>48</v>
      </c>
      <c r="D169" s="3">
        <f>+I44</f>
        <v>585803</v>
      </c>
      <c r="E169" s="3">
        <f>+M44</f>
        <v>1573775</v>
      </c>
      <c r="F169" s="3">
        <f>+Q44</f>
        <v>2284229</v>
      </c>
      <c r="G169" s="3">
        <f>+U44</f>
        <v>1340993</v>
      </c>
      <c r="H169" s="3">
        <f>SUM(D169:G169)</f>
        <v>5784800</v>
      </c>
      <c r="I169" s="3">
        <f>COUNT(D169:G169)</f>
        <v>4</v>
      </c>
      <c r="J169" s="3">
        <f>+H169/I169</f>
        <v>1446200</v>
      </c>
      <c r="K169" s="20">
        <f>+J169/J173</f>
        <v>0.24245385023738666</v>
      </c>
    </row>
    <row r="170" spans="2:11" x14ac:dyDescent="0.25">
      <c r="C170" s="1" t="s">
        <v>49</v>
      </c>
      <c r="D170" s="3">
        <f>+J44</f>
        <v>464619</v>
      </c>
      <c r="E170" s="3">
        <f>+N44</f>
        <v>1048033</v>
      </c>
      <c r="F170" s="3">
        <f>+R44</f>
        <v>3194284</v>
      </c>
      <c r="G170" s="3">
        <f>+V43</f>
        <v>1228954</v>
      </c>
      <c r="H170" s="3">
        <f>SUM(D170:G170)</f>
        <v>5935890</v>
      </c>
      <c r="I170" s="3">
        <f>COUNT(D170:G170)</f>
        <v>4</v>
      </c>
      <c r="J170" s="3">
        <f>+H170/I170</f>
        <v>1483972.5</v>
      </c>
      <c r="K170" s="20">
        <f>+J170/J173</f>
        <v>0.24878636860143843</v>
      </c>
    </row>
    <row r="171" spans="2:11" x14ac:dyDescent="0.25">
      <c r="C171" s="1" t="s">
        <v>50</v>
      </c>
      <c r="D171" s="3">
        <f>+K44</f>
        <v>572215</v>
      </c>
      <c r="E171" s="3">
        <f>+O44</f>
        <v>1276624</v>
      </c>
      <c r="F171" s="3">
        <f>+S44</f>
        <v>3553618</v>
      </c>
      <c r="G171" s="3"/>
      <c r="H171" s="3">
        <f>SUM(D171:G171)</f>
        <v>5402457</v>
      </c>
      <c r="I171" s="3">
        <f>COUNT(D171:G171)</f>
        <v>3</v>
      </c>
      <c r="J171" s="3">
        <f>+H171/I171</f>
        <v>1800819</v>
      </c>
      <c r="K171" s="20">
        <f>+J171/J173</f>
        <v>0.30190533821784016</v>
      </c>
    </row>
    <row r="172" spans="2:11" x14ac:dyDescent="0.25">
      <c r="K172" s="23"/>
    </row>
    <row r="173" spans="2:11" x14ac:dyDescent="0.25">
      <c r="C173" s="1" t="s">
        <v>51</v>
      </c>
      <c r="D173" s="3">
        <f>SUM(D168:D172)</f>
        <v>2327993</v>
      </c>
      <c r="E173" s="3">
        <f>SUM(E168:E172)</f>
        <v>4724507</v>
      </c>
      <c r="F173" s="3">
        <f>SUM(F168:F172)</f>
        <v>11063456</v>
      </c>
      <c r="G173" s="3">
        <f>SUM(G168:G172)</f>
        <v>3942611</v>
      </c>
      <c r="H173" s="3">
        <f>SUM(D173:G173)</f>
        <v>22058567</v>
      </c>
      <c r="I173" s="21"/>
      <c r="J173" s="3">
        <f>SUM(J168:J172)</f>
        <v>5964846.5</v>
      </c>
      <c r="K173" s="20">
        <f>SUM(K168:K172)</f>
        <v>1</v>
      </c>
    </row>
    <row r="174" spans="2:11" x14ac:dyDescent="0.25">
      <c r="H174" s="3">
        <f>SUM(H168:H171)</f>
        <v>22058567</v>
      </c>
    </row>
    <row r="176" spans="2:11" x14ac:dyDescent="0.25">
      <c r="B176" s="26" t="s">
        <v>89</v>
      </c>
      <c r="C176" s="26" t="s">
        <v>103</v>
      </c>
      <c r="D176" s="26" t="s">
        <v>104</v>
      </c>
      <c r="E176" s="26" t="s">
        <v>121</v>
      </c>
      <c r="F176" s="26" t="s">
        <v>105</v>
      </c>
      <c r="G176" s="26" t="s">
        <v>106</v>
      </c>
      <c r="H176" s="26" t="s">
        <v>107</v>
      </c>
    </row>
    <row r="178" spans="2:8" x14ac:dyDescent="0.25">
      <c r="B178" s="1" t="s">
        <v>90</v>
      </c>
      <c r="C178" s="1">
        <v>31</v>
      </c>
      <c r="D178" s="1">
        <f>+C178</f>
        <v>31</v>
      </c>
      <c r="E178" s="1">
        <f>+C178</f>
        <v>31</v>
      </c>
      <c r="F178" s="1"/>
      <c r="G178" s="1"/>
      <c r="H178" s="1"/>
    </row>
    <row r="179" spans="2:8" x14ac:dyDescent="0.25">
      <c r="B179" s="1" t="s">
        <v>91</v>
      </c>
      <c r="C179" s="1">
        <v>28</v>
      </c>
      <c r="D179" s="1">
        <f>+C179</f>
        <v>28</v>
      </c>
      <c r="E179" s="1"/>
      <c r="F179" s="1"/>
      <c r="G179" s="1"/>
      <c r="H179" s="1"/>
    </row>
    <row r="180" spans="2:8" x14ac:dyDescent="0.25">
      <c r="B180" s="1" t="s">
        <v>92</v>
      </c>
      <c r="C180" s="1">
        <v>29</v>
      </c>
      <c r="D180" s="1"/>
      <c r="E180" s="1">
        <f>+C180</f>
        <v>29</v>
      </c>
      <c r="F180" s="1"/>
      <c r="G180" s="1"/>
      <c r="H180" s="1"/>
    </row>
    <row r="181" spans="2:8" x14ac:dyDescent="0.25">
      <c r="B181" s="1" t="s">
        <v>93</v>
      </c>
      <c r="C181" s="1">
        <v>31</v>
      </c>
      <c r="D181" s="1">
        <f>+C181</f>
        <v>31</v>
      </c>
      <c r="E181" s="1">
        <f>+C181</f>
        <v>31</v>
      </c>
      <c r="F181" s="1"/>
      <c r="G181" s="1"/>
      <c r="H181" s="1"/>
    </row>
    <row r="182" spans="2:8" x14ac:dyDescent="0.25">
      <c r="B182" s="1" t="s">
        <v>94</v>
      </c>
      <c r="C182" s="1">
        <v>30</v>
      </c>
      <c r="D182" s="1"/>
      <c r="E182" s="1"/>
      <c r="F182" s="1">
        <f>+C182</f>
        <v>30</v>
      </c>
      <c r="G182" s="1"/>
      <c r="H182" s="1"/>
    </row>
    <row r="183" spans="2:8" x14ac:dyDescent="0.25">
      <c r="B183" s="1" t="s">
        <v>95</v>
      </c>
      <c r="C183" s="1">
        <v>31</v>
      </c>
      <c r="D183" s="1"/>
      <c r="E183" s="1"/>
      <c r="F183" s="1">
        <f>+C183</f>
        <v>31</v>
      </c>
      <c r="G183" s="1"/>
      <c r="H183" s="1"/>
    </row>
    <row r="184" spans="2:8" x14ac:dyDescent="0.25">
      <c r="B184" s="1" t="s">
        <v>96</v>
      </c>
      <c r="C184" s="1">
        <v>30</v>
      </c>
      <c r="D184" s="1"/>
      <c r="E184" s="1"/>
      <c r="F184" s="1">
        <f>+C184</f>
        <v>30</v>
      </c>
      <c r="G184" s="1"/>
      <c r="H184" s="1"/>
    </row>
    <row r="185" spans="2:8" x14ac:dyDescent="0.25">
      <c r="B185" s="1" t="s">
        <v>97</v>
      </c>
      <c r="C185" s="1">
        <v>31</v>
      </c>
      <c r="D185" s="1"/>
      <c r="E185" s="1"/>
      <c r="F185" s="1"/>
      <c r="G185" s="1">
        <f>+C185</f>
        <v>31</v>
      </c>
      <c r="H185" s="1"/>
    </row>
    <row r="186" spans="2:8" x14ac:dyDescent="0.25">
      <c r="B186" s="1" t="s">
        <v>98</v>
      </c>
      <c r="C186" s="1">
        <v>31</v>
      </c>
      <c r="D186" s="1"/>
      <c r="E186" s="1"/>
      <c r="F186" s="1"/>
      <c r="G186" s="1">
        <f>+C186</f>
        <v>31</v>
      </c>
      <c r="H186" s="1"/>
    </row>
    <row r="187" spans="2:8" x14ac:dyDescent="0.25">
      <c r="B187" s="1" t="s">
        <v>99</v>
      </c>
      <c r="C187" s="1">
        <v>30</v>
      </c>
      <c r="D187" s="1"/>
      <c r="E187" s="1"/>
      <c r="F187" s="1"/>
      <c r="G187" s="1">
        <f>+C187</f>
        <v>30</v>
      </c>
      <c r="H187" s="1"/>
    </row>
    <row r="188" spans="2:8" x14ac:dyDescent="0.25">
      <c r="B188" s="1" t="s">
        <v>100</v>
      </c>
      <c r="C188" s="1">
        <v>31</v>
      </c>
      <c r="D188" s="1"/>
      <c r="E188" s="1"/>
      <c r="F188" s="1"/>
      <c r="G188" s="1"/>
      <c r="H188" s="1">
        <f>+C188</f>
        <v>31</v>
      </c>
    </row>
    <row r="189" spans="2:8" x14ac:dyDescent="0.25">
      <c r="B189" s="1" t="s">
        <v>101</v>
      </c>
      <c r="C189" s="1">
        <v>30</v>
      </c>
      <c r="D189" s="1"/>
      <c r="E189" s="1"/>
      <c r="F189" s="1"/>
      <c r="G189" s="1"/>
      <c r="H189" s="1">
        <f>+C189</f>
        <v>30</v>
      </c>
    </row>
    <row r="190" spans="2:8" x14ac:dyDescent="0.25">
      <c r="B190" s="1" t="s">
        <v>102</v>
      </c>
      <c r="C190" s="1">
        <v>31</v>
      </c>
      <c r="D190" s="1"/>
      <c r="E190" s="1"/>
      <c r="F190" s="1"/>
      <c r="G190" s="1"/>
      <c r="H190" s="1">
        <f>+C190</f>
        <v>31</v>
      </c>
    </row>
    <row r="192" spans="2:8" x14ac:dyDescent="0.25">
      <c r="D192" s="1">
        <f>SUM(D178:D190)</f>
        <v>90</v>
      </c>
      <c r="E192" s="1">
        <f t="shared" ref="E192:H192" si="96">SUM(E178:E190)</f>
        <v>91</v>
      </c>
      <c r="F192" s="1">
        <f t="shared" si="96"/>
        <v>91</v>
      </c>
      <c r="G192" s="1">
        <f t="shared" si="96"/>
        <v>92</v>
      </c>
      <c r="H192" s="1">
        <f t="shared" si="96"/>
        <v>92</v>
      </c>
    </row>
    <row r="194" spans="3:9" ht="30" x14ac:dyDescent="0.25">
      <c r="C194" s="31" t="s">
        <v>108</v>
      </c>
      <c r="D194" s="31" t="s">
        <v>112</v>
      </c>
      <c r="E194" s="31" t="s">
        <v>109</v>
      </c>
      <c r="F194" s="31" t="s">
        <v>110</v>
      </c>
      <c r="G194" s="31" t="s">
        <v>111</v>
      </c>
      <c r="H194" s="31" t="s">
        <v>113</v>
      </c>
    </row>
    <row r="196" spans="3:9" x14ac:dyDescent="0.25">
      <c r="C196" s="1">
        <f>+D192+F192</f>
        <v>181</v>
      </c>
      <c r="D196" s="1">
        <f>+E192+F192</f>
        <v>182</v>
      </c>
      <c r="E196" s="1">
        <f>+F192+G192</f>
        <v>183</v>
      </c>
      <c r="F196" s="1">
        <f>+G192+H192</f>
        <v>184</v>
      </c>
      <c r="G196" s="1">
        <f>+H192+D192</f>
        <v>182</v>
      </c>
      <c r="H196" s="1">
        <f>+H192+E192</f>
        <v>183</v>
      </c>
    </row>
    <row r="198" spans="3:9" ht="30" x14ac:dyDescent="0.25">
      <c r="C198" s="31" t="s">
        <v>114</v>
      </c>
      <c r="D198" s="31" t="s">
        <v>115</v>
      </c>
      <c r="E198" s="31" t="s">
        <v>116</v>
      </c>
      <c r="F198" s="31" t="s">
        <v>117</v>
      </c>
      <c r="G198" s="31" t="s">
        <v>120</v>
      </c>
      <c r="H198" s="31" t="s">
        <v>118</v>
      </c>
      <c r="I198" s="29"/>
    </row>
    <row r="200" spans="3:9" x14ac:dyDescent="0.25">
      <c r="C200" s="1">
        <f>+D192+F192+G192</f>
        <v>273</v>
      </c>
      <c r="D200" s="1">
        <f>+E192+F192+G192</f>
        <v>274</v>
      </c>
      <c r="E200" s="1">
        <f>+F192+G192+H192</f>
        <v>275</v>
      </c>
      <c r="F200" s="1">
        <f>+G192+H192+D192</f>
        <v>274</v>
      </c>
      <c r="G200" s="1">
        <f>+G192+H192+E192</f>
        <v>275</v>
      </c>
      <c r="H200" s="1">
        <f>+H192+D192+F192</f>
        <v>273</v>
      </c>
    </row>
    <row r="202" spans="3:9" ht="45" x14ac:dyDescent="0.25">
      <c r="C202" s="31" t="s">
        <v>119</v>
      </c>
      <c r="D202" s="12" t="s">
        <v>122</v>
      </c>
      <c r="E202" s="12" t="s">
        <v>123</v>
      </c>
      <c r="F202" s="30"/>
    </row>
    <row r="204" spans="3:9" x14ac:dyDescent="0.25">
      <c r="C204" s="1">
        <f>+H192+E192+F192</f>
        <v>274</v>
      </c>
      <c r="D204" s="1">
        <f>+D192+F192+G192+H192</f>
        <v>365</v>
      </c>
      <c r="E204" s="1">
        <f>+E192+F192+G192+H192</f>
        <v>366</v>
      </c>
    </row>
  </sheetData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5"/>
  <sheetViews>
    <sheetView tabSelected="1" topLeftCell="J19" workbookViewId="0">
      <selection activeCell="T6" sqref="B2:T6"/>
    </sheetView>
  </sheetViews>
  <sheetFormatPr defaultRowHeight="15" x14ac:dyDescent="0.25"/>
  <cols>
    <col min="1" max="1" width="4.28515625" customWidth="1"/>
    <col min="2" max="2" width="35" customWidth="1"/>
  </cols>
  <sheetData>
    <row r="2" spans="2:20" x14ac:dyDescent="0.25">
      <c r="B2" s="1" t="s">
        <v>57</v>
      </c>
      <c r="C2" s="44" t="s">
        <v>134</v>
      </c>
      <c r="D2" s="44" t="s">
        <v>21</v>
      </c>
      <c r="E2" s="44" t="s">
        <v>25</v>
      </c>
      <c r="F2" s="44" t="s">
        <v>26</v>
      </c>
      <c r="G2" s="44" t="s">
        <v>27</v>
      </c>
      <c r="H2" s="44" t="s">
        <v>28</v>
      </c>
      <c r="I2" s="44" t="s">
        <v>29</v>
      </c>
      <c r="J2" s="44" t="s">
        <v>30</v>
      </c>
      <c r="K2" s="44" t="s">
        <v>31</v>
      </c>
      <c r="L2" s="44" t="s">
        <v>32</v>
      </c>
      <c r="M2" s="44" t="s">
        <v>33</v>
      </c>
      <c r="N2" s="44" t="s">
        <v>34</v>
      </c>
      <c r="O2" s="44" t="s">
        <v>35</v>
      </c>
      <c r="P2" s="44" t="s">
        <v>36</v>
      </c>
      <c r="Q2" s="44" t="s">
        <v>37</v>
      </c>
      <c r="R2" s="44" t="s">
        <v>38</v>
      </c>
      <c r="S2" s="44" t="s">
        <v>39</v>
      </c>
      <c r="T2" s="44" t="s">
        <v>40</v>
      </c>
    </row>
    <row r="3" spans="2:20" x14ac:dyDescent="0.25">
      <c r="B3" s="1" t="s">
        <v>41</v>
      </c>
      <c r="C3" s="48">
        <f>+KGHM!G93</f>
        <v>54.914324999999998</v>
      </c>
      <c r="D3" s="48">
        <f>+KGHM!H93</f>
        <v>56.764964999999997</v>
      </c>
      <c r="E3" s="48">
        <f>+KGHM!I93</f>
        <v>47.079000000000001</v>
      </c>
      <c r="F3" s="48">
        <f>+KGHM!J93</f>
        <v>49.7273</v>
      </c>
      <c r="G3" s="48">
        <f>+KGHM!K93</f>
        <v>53.012124999999997</v>
      </c>
      <c r="H3" s="48">
        <f>+KGHM!L93</f>
        <v>56.872554999999998</v>
      </c>
      <c r="I3" s="48">
        <f>+KGHM!M93</f>
        <v>62.847059999999999</v>
      </c>
      <c r="J3" s="48">
        <f>+KGHM!N93</f>
        <v>68.04350500000001</v>
      </c>
      <c r="K3" s="48">
        <f>+KGHM!O93</f>
        <v>74.61061500000001</v>
      </c>
      <c r="L3" s="48">
        <f>+KGHM!P93</f>
        <v>84.777839999999998</v>
      </c>
      <c r="M3" s="48">
        <f>+KGHM!Q93</f>
        <v>82.140034999999997</v>
      </c>
      <c r="N3" s="48">
        <f>+KGHM!R93</f>
        <v>99.97402000000001</v>
      </c>
      <c r="O3" s="48">
        <f>+KGHM!S93</f>
        <v>116.91178500000001</v>
      </c>
      <c r="P3" s="48">
        <f>+KGHM!T93</f>
        <v>120.62377499999999</v>
      </c>
      <c r="Q3" s="4">
        <f>+KGHM!U93</f>
        <v>103.12867</v>
      </c>
      <c r="R3" s="4">
        <f>+KGHM!V93</f>
        <v>105.08939500000001</v>
      </c>
      <c r="S3" s="4">
        <f>+KGHM!W93</f>
        <v>108.55</v>
      </c>
      <c r="T3" s="4">
        <f>+KGHM!X93</f>
        <v>117.3</v>
      </c>
    </row>
    <row r="4" spans="2:20" x14ac:dyDescent="0.25">
      <c r="B4" s="1" t="s">
        <v>138</v>
      </c>
      <c r="C4" s="48">
        <f>-KGHM!G117</f>
        <v>9.246319999999999</v>
      </c>
      <c r="D4" s="48">
        <f>-KGHM!H117</f>
        <v>8.6093799999999998</v>
      </c>
      <c r="E4" s="48">
        <f>-KGHM!I117</f>
        <v>8.6430049999999987</v>
      </c>
      <c r="F4" s="48">
        <f>-KGHM!J117</f>
        <v>8.8830349999999996</v>
      </c>
      <c r="G4" s="48">
        <f>-KGHM!K117</f>
        <v>9.9269549999999995</v>
      </c>
      <c r="H4" s="48">
        <f>-KGHM!L117</f>
        <v>11.859635000000001</v>
      </c>
      <c r="I4" s="48">
        <f>-KGHM!M117</f>
        <v>12.031180000000001</v>
      </c>
      <c r="J4" s="48">
        <f>-KGHM!N117</f>
        <v>13.128665000000002</v>
      </c>
      <c r="K4" s="48">
        <f>-KGHM!O117</f>
        <v>14.578844999999999</v>
      </c>
      <c r="L4" s="48">
        <f>-KGHM!P117</f>
        <v>13.370434999999999</v>
      </c>
      <c r="M4" s="48">
        <f>-KGHM!Q117</f>
        <v>12.454295</v>
      </c>
      <c r="N4" s="48">
        <f>-KGHM!R117</f>
        <v>13.647309999999999</v>
      </c>
      <c r="O4" s="48">
        <f>-KGHM!S117</f>
        <v>14.031874999999999</v>
      </c>
      <c r="P4" s="48">
        <f>-KGHM!T117</f>
        <v>35.49427</v>
      </c>
      <c r="Q4" s="4">
        <f>-KGHM!U117</f>
        <v>37.889859999999999</v>
      </c>
      <c r="R4" s="4">
        <f>-KGHM!V117</f>
        <v>36.436985</v>
      </c>
      <c r="S4" s="4">
        <f>-KGHM!W117</f>
        <v>35.6</v>
      </c>
      <c r="T4" s="4">
        <f>-KGHM!X117</f>
        <v>37.83</v>
      </c>
    </row>
    <row r="5" spans="2:20" x14ac:dyDescent="0.25">
      <c r="B5" s="1" t="s">
        <v>160</v>
      </c>
      <c r="C5" s="48">
        <f>+KGHM!G121</f>
        <v>9</v>
      </c>
      <c r="D5" s="48">
        <f>+KGHM!H121</f>
        <v>9</v>
      </c>
      <c r="E5" s="48">
        <f>+KGHM!I121</f>
        <v>9</v>
      </c>
      <c r="F5" s="48">
        <f>+KGHM!J121</f>
        <v>11.68</v>
      </c>
      <c r="G5" s="48">
        <f>+KGHM!K121</f>
        <v>11.68</v>
      </c>
      <c r="H5" s="48">
        <f>+KGHM!L121</f>
        <v>11.68</v>
      </c>
      <c r="I5" s="48">
        <f>+KGHM!M121</f>
        <v>11.68</v>
      </c>
      <c r="J5" s="48">
        <f>+KGHM!N121</f>
        <v>3</v>
      </c>
      <c r="K5" s="48">
        <f>+KGHM!O121</f>
        <v>3</v>
      </c>
      <c r="L5" s="48">
        <f>+KGHM!P121</f>
        <v>3</v>
      </c>
      <c r="M5" s="48">
        <f>+KGHM!Q121</f>
        <v>3</v>
      </c>
      <c r="N5" s="48">
        <f>+KGHM!R121</f>
        <v>14.9</v>
      </c>
      <c r="O5" s="48">
        <f>+KGHM!S121</f>
        <v>14.9</v>
      </c>
      <c r="P5" s="48">
        <f>+KGHM!T121</f>
        <v>14.9</v>
      </c>
      <c r="Q5" s="4">
        <f>+KGHM!U121</f>
        <v>14.9</v>
      </c>
      <c r="R5" s="4">
        <f>+KGHM!V121</f>
        <v>28.34</v>
      </c>
      <c r="S5" s="4">
        <f>+KGHM!W121</f>
        <v>28.34</v>
      </c>
      <c r="T5" s="4">
        <f>+KGHM!X121</f>
        <v>28.34</v>
      </c>
    </row>
    <row r="6" spans="2:20" x14ac:dyDescent="0.25">
      <c r="B6" s="1" t="s">
        <v>86</v>
      </c>
      <c r="C6" s="48">
        <f>+KGHM!G122</f>
        <v>-45.040644999999998</v>
      </c>
      <c r="D6" s="48">
        <f>+KGHM!H122</f>
        <v>-28.684345000000008</v>
      </c>
      <c r="E6" s="48">
        <f>+KGHM!I122</f>
        <v>16.777995000000004</v>
      </c>
      <c r="F6" s="48">
        <f>+KGHM!J122</f>
        <v>16.109665</v>
      </c>
      <c r="G6" s="48">
        <f>+KGHM!K122</f>
        <v>31.380919999999989</v>
      </c>
      <c r="H6" s="48">
        <f>+KGHM!L122</f>
        <v>26.487809999999996</v>
      </c>
      <c r="I6" s="48">
        <f>+KGHM!M122</f>
        <v>2.0417599999999823</v>
      </c>
      <c r="J6" s="48">
        <f>+KGHM!N122</f>
        <v>33.127830000000003</v>
      </c>
      <c r="K6" s="48">
        <f>+KGHM!O122</f>
        <v>80.810539999999989</v>
      </c>
      <c r="L6" s="48">
        <f>+KGHM!P122</f>
        <v>79.05172499999999</v>
      </c>
      <c r="M6" s="48">
        <f>+KGHM!Q122</f>
        <v>99.405670000000001</v>
      </c>
      <c r="N6" s="48">
        <f>+KGHM!R122</f>
        <v>2.4786699999999939</v>
      </c>
      <c r="O6" s="48">
        <f>+KGHM!S122</f>
        <v>-35.243660000000006</v>
      </c>
      <c r="P6" s="48">
        <f>+KGHM!T122</f>
        <v>-27.918045000000035</v>
      </c>
      <c r="Q6" s="4">
        <f>+KGHM!U122</f>
        <v>-10.918530000000004</v>
      </c>
      <c r="R6" s="4">
        <f>+KGHM!V122</f>
        <v>-17.366380000000021</v>
      </c>
      <c r="S6" s="4">
        <f>+KGHM!W122</f>
        <v>17.509999999999991</v>
      </c>
      <c r="T6" s="4">
        <f>+KGHM!X122</f>
        <v>-25.669999999999987</v>
      </c>
    </row>
    <row r="7" spans="2:20" x14ac:dyDescent="0.25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2:20" x14ac:dyDescent="0.25">
      <c r="B8" s="1" t="s">
        <v>87</v>
      </c>
      <c r="C8" s="4">
        <f t="shared" ref="C8:T8" si="0">SUM(C3:C7)</f>
        <v>28.120000000000005</v>
      </c>
      <c r="D8" s="4">
        <f t="shared" si="0"/>
        <v>45.689999999999984</v>
      </c>
      <c r="E8" s="4">
        <f t="shared" si="0"/>
        <v>81.5</v>
      </c>
      <c r="F8" s="4">
        <f t="shared" si="0"/>
        <v>86.4</v>
      </c>
      <c r="G8" s="4">
        <f t="shared" si="0"/>
        <v>105.99999999999999</v>
      </c>
      <c r="H8" s="4">
        <f t="shared" si="0"/>
        <v>106.9</v>
      </c>
      <c r="I8" s="4">
        <f t="shared" si="0"/>
        <v>88.6</v>
      </c>
      <c r="J8" s="4">
        <f t="shared" si="0"/>
        <v>117.30000000000001</v>
      </c>
      <c r="K8" s="4">
        <f t="shared" si="0"/>
        <v>173</v>
      </c>
      <c r="L8" s="4">
        <f t="shared" si="0"/>
        <v>180.2</v>
      </c>
      <c r="M8" s="4">
        <f t="shared" si="0"/>
        <v>197</v>
      </c>
      <c r="N8" s="4">
        <f t="shared" si="0"/>
        <v>131</v>
      </c>
      <c r="O8" s="4">
        <f t="shared" si="0"/>
        <v>110.60000000000002</v>
      </c>
      <c r="P8" s="4">
        <f t="shared" si="0"/>
        <v>143.09999999999997</v>
      </c>
      <c r="Q8" s="4">
        <f t="shared" si="0"/>
        <v>145</v>
      </c>
      <c r="R8" s="4">
        <f t="shared" si="0"/>
        <v>152.5</v>
      </c>
      <c r="S8" s="4">
        <f t="shared" si="0"/>
        <v>190</v>
      </c>
      <c r="T8" s="4">
        <f t="shared" si="0"/>
        <v>157.80000000000001</v>
      </c>
    </row>
    <row r="9" spans="2:20" x14ac:dyDescent="0.25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2:20" x14ac:dyDescent="0.25">
      <c r="B10" s="1" t="s">
        <v>161</v>
      </c>
      <c r="C10" s="4">
        <f>+KGHM!G54</f>
        <v>28.12</v>
      </c>
      <c r="D10" s="4">
        <f>+KGHM!H54</f>
        <v>45.69</v>
      </c>
      <c r="E10" s="4">
        <f>+KGHM!I54</f>
        <v>81.5</v>
      </c>
      <c r="F10" s="4">
        <f>+KGHM!J54</f>
        <v>86.4</v>
      </c>
      <c r="G10" s="4">
        <f>+KGHM!K54</f>
        <v>106</v>
      </c>
      <c r="H10" s="4">
        <f>+KGHM!L54</f>
        <v>106.9</v>
      </c>
      <c r="I10" s="4">
        <f>+KGHM!M54</f>
        <v>88.6</v>
      </c>
      <c r="J10" s="4">
        <f>+KGHM!N54</f>
        <v>117.3</v>
      </c>
      <c r="K10" s="4">
        <f>+KGHM!O54</f>
        <v>173</v>
      </c>
      <c r="L10" s="4">
        <f>+KGHM!P54</f>
        <v>180.2</v>
      </c>
      <c r="M10" s="4">
        <f>+KGHM!Q54</f>
        <v>197</v>
      </c>
      <c r="N10" s="4">
        <f>+KGHM!R54</f>
        <v>131</v>
      </c>
      <c r="O10" s="4">
        <f>+KGHM!S54</f>
        <v>110.6</v>
      </c>
      <c r="P10" s="4">
        <f>+KGHM!T54</f>
        <v>143.1</v>
      </c>
      <c r="Q10" s="4">
        <f>+KGHM!U54</f>
        <v>145</v>
      </c>
      <c r="R10" s="4">
        <f>+KGHM!V54</f>
        <v>152.5</v>
      </c>
      <c r="S10" s="4">
        <f>+KGHM!W54</f>
        <v>190</v>
      </c>
      <c r="T10" s="4">
        <f>+KGHM!X54</f>
        <v>157.80000000000001</v>
      </c>
    </row>
    <row r="12" spans="2:20" x14ac:dyDescent="0.25">
      <c r="B12" s="1" t="s">
        <v>57</v>
      </c>
      <c r="C12" s="44" t="s">
        <v>134</v>
      </c>
      <c r="D12" s="44" t="s">
        <v>21</v>
      </c>
      <c r="E12" s="44" t="s">
        <v>25</v>
      </c>
      <c r="F12" s="44" t="s">
        <v>26</v>
      </c>
      <c r="G12" s="44" t="s">
        <v>27</v>
      </c>
      <c r="H12" s="44" t="s">
        <v>28</v>
      </c>
      <c r="I12" s="44" t="s">
        <v>29</v>
      </c>
      <c r="J12" s="44" t="s">
        <v>30</v>
      </c>
      <c r="K12" s="44" t="s">
        <v>31</v>
      </c>
      <c r="L12" s="44" t="s">
        <v>32</v>
      </c>
      <c r="M12" s="44" t="s">
        <v>33</v>
      </c>
      <c r="N12" s="44" t="s">
        <v>34</v>
      </c>
      <c r="O12" s="44" t="s">
        <v>35</v>
      </c>
      <c r="P12" s="44" t="s">
        <v>36</v>
      </c>
      <c r="Q12" s="44" t="s">
        <v>37</v>
      </c>
      <c r="R12" s="44" t="s">
        <v>38</v>
      </c>
      <c r="S12" s="44" t="s">
        <v>39</v>
      </c>
      <c r="T12" s="44" t="s">
        <v>40</v>
      </c>
    </row>
    <row r="13" spans="2:20" x14ac:dyDescent="0.25">
      <c r="B13" s="28" t="s">
        <v>160</v>
      </c>
      <c r="C13" s="48">
        <f t="shared" ref="C13:T13" si="1">+C5</f>
        <v>9</v>
      </c>
      <c r="D13" s="48">
        <f t="shared" si="1"/>
        <v>9</v>
      </c>
      <c r="E13" s="48">
        <f t="shared" si="1"/>
        <v>9</v>
      </c>
      <c r="F13" s="48">
        <f t="shared" si="1"/>
        <v>11.68</v>
      </c>
      <c r="G13" s="48">
        <f t="shared" si="1"/>
        <v>11.68</v>
      </c>
      <c r="H13" s="48">
        <f t="shared" si="1"/>
        <v>11.68</v>
      </c>
      <c r="I13" s="48">
        <f t="shared" si="1"/>
        <v>11.68</v>
      </c>
      <c r="J13" s="48">
        <f t="shared" si="1"/>
        <v>3</v>
      </c>
      <c r="K13" s="48">
        <f t="shared" si="1"/>
        <v>3</v>
      </c>
      <c r="L13" s="48">
        <f t="shared" si="1"/>
        <v>3</v>
      </c>
      <c r="M13" s="48">
        <f t="shared" si="1"/>
        <v>3</v>
      </c>
      <c r="N13" s="48">
        <f t="shared" si="1"/>
        <v>14.9</v>
      </c>
      <c r="O13" s="48">
        <f t="shared" si="1"/>
        <v>14.9</v>
      </c>
      <c r="P13" s="48">
        <f t="shared" si="1"/>
        <v>14.9</v>
      </c>
      <c r="Q13" s="48">
        <f t="shared" si="1"/>
        <v>14.9</v>
      </c>
      <c r="R13" s="48">
        <f t="shared" si="1"/>
        <v>28.34</v>
      </c>
      <c r="S13" s="48">
        <f t="shared" si="1"/>
        <v>28.34</v>
      </c>
      <c r="T13" s="48">
        <f t="shared" si="1"/>
        <v>28.34</v>
      </c>
    </row>
    <row r="14" spans="2:20" x14ac:dyDescent="0.25">
      <c r="B14" s="1" t="s">
        <v>166</v>
      </c>
      <c r="C14" s="48">
        <f>+C3</f>
        <v>54.914324999999998</v>
      </c>
      <c r="D14" s="48">
        <f t="shared" ref="D14:T14" si="2">+D3</f>
        <v>56.764964999999997</v>
      </c>
      <c r="E14" s="48">
        <f t="shared" si="2"/>
        <v>47.079000000000001</v>
      </c>
      <c r="F14" s="48">
        <f t="shared" si="2"/>
        <v>49.7273</v>
      </c>
      <c r="G14" s="48">
        <f t="shared" si="2"/>
        <v>53.012124999999997</v>
      </c>
      <c r="H14" s="48">
        <f t="shared" si="2"/>
        <v>56.872554999999998</v>
      </c>
      <c r="I14" s="48">
        <f t="shared" si="2"/>
        <v>62.847059999999999</v>
      </c>
      <c r="J14" s="48">
        <f t="shared" si="2"/>
        <v>68.04350500000001</v>
      </c>
      <c r="K14" s="48">
        <f t="shared" si="2"/>
        <v>74.61061500000001</v>
      </c>
      <c r="L14" s="48">
        <f t="shared" si="2"/>
        <v>84.777839999999998</v>
      </c>
      <c r="M14" s="48">
        <f t="shared" si="2"/>
        <v>82.140034999999997</v>
      </c>
      <c r="N14" s="48">
        <f t="shared" si="2"/>
        <v>99.97402000000001</v>
      </c>
      <c r="O14" s="48">
        <f t="shared" si="2"/>
        <v>116.91178500000001</v>
      </c>
      <c r="P14" s="48">
        <f t="shared" si="2"/>
        <v>120.62377499999999</v>
      </c>
      <c r="Q14" s="48">
        <f t="shared" si="2"/>
        <v>103.12867</v>
      </c>
      <c r="R14" s="48">
        <f t="shared" si="2"/>
        <v>105.08939500000001</v>
      </c>
      <c r="S14" s="48">
        <f t="shared" si="2"/>
        <v>108.55</v>
      </c>
      <c r="T14" s="48">
        <f t="shared" si="2"/>
        <v>117.3</v>
      </c>
    </row>
    <row r="15" spans="2:20" x14ac:dyDescent="0.25">
      <c r="B15" s="28" t="s">
        <v>167</v>
      </c>
      <c r="C15" s="48">
        <f t="shared" ref="C15:T15" si="3">+C8</f>
        <v>28.120000000000005</v>
      </c>
      <c r="D15" s="48">
        <f t="shared" si="3"/>
        <v>45.689999999999984</v>
      </c>
      <c r="E15" s="48">
        <f t="shared" si="3"/>
        <v>81.5</v>
      </c>
      <c r="F15" s="48">
        <f t="shared" si="3"/>
        <v>86.4</v>
      </c>
      <c r="G15" s="48">
        <f t="shared" si="3"/>
        <v>105.99999999999999</v>
      </c>
      <c r="H15" s="48">
        <f t="shared" si="3"/>
        <v>106.9</v>
      </c>
      <c r="I15" s="48">
        <f t="shared" si="3"/>
        <v>88.6</v>
      </c>
      <c r="J15" s="48">
        <f t="shared" si="3"/>
        <v>117.30000000000001</v>
      </c>
      <c r="K15" s="48">
        <f t="shared" si="3"/>
        <v>173</v>
      </c>
      <c r="L15" s="48">
        <f t="shared" si="3"/>
        <v>180.2</v>
      </c>
      <c r="M15" s="48">
        <f t="shared" si="3"/>
        <v>197</v>
      </c>
      <c r="N15" s="48">
        <f t="shared" si="3"/>
        <v>131</v>
      </c>
      <c r="O15" s="48">
        <f t="shared" si="3"/>
        <v>110.60000000000002</v>
      </c>
      <c r="P15" s="48">
        <f t="shared" si="3"/>
        <v>143.09999999999997</v>
      </c>
      <c r="Q15" s="48">
        <f t="shared" si="3"/>
        <v>145</v>
      </c>
      <c r="R15" s="48">
        <f t="shared" si="3"/>
        <v>152.5</v>
      </c>
      <c r="S15" s="48">
        <f t="shared" si="3"/>
        <v>190</v>
      </c>
      <c r="T15" s="48">
        <f t="shared" si="3"/>
        <v>157.80000000000001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KGHM</vt:lpstr>
      <vt:lpstr>SCA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</dc:creator>
  <cp:lastModifiedBy>Admin3</cp:lastModifiedBy>
  <cp:lastPrinted>2014-06-20T07:06:41Z</cp:lastPrinted>
  <dcterms:created xsi:type="dcterms:W3CDTF">2014-05-20T15:27:54Z</dcterms:created>
  <dcterms:modified xsi:type="dcterms:W3CDTF">2014-06-21T07:02:39Z</dcterms:modified>
</cp:coreProperties>
</file>