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3\Desktop\Roj\wykresy\wskaznikowa\"/>
    </mc:Choice>
  </mc:AlternateContent>
  <bookViews>
    <workbookView xWindow="0" yWindow="0" windowWidth="24000" windowHeight="9735"/>
  </bookViews>
  <sheets>
    <sheet name="Enea" sheetId="1" r:id="rId1"/>
    <sheet name="SCA" sheetId="1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J44" i="1" s="1"/>
  <c r="K44" i="1" s="1"/>
  <c r="I43" i="1"/>
  <c r="J43" i="1" s="1"/>
  <c r="K43" i="1" s="1"/>
  <c r="M44" i="1"/>
  <c r="N44" i="1" s="1"/>
  <c r="O44" i="1" s="1"/>
  <c r="M43" i="1"/>
  <c r="N43" i="1" s="1"/>
  <c r="O43" i="1" s="1"/>
  <c r="Q44" i="1"/>
  <c r="R44" i="1" s="1"/>
  <c r="S44" i="1" s="1"/>
  <c r="Q43" i="1"/>
  <c r="R43" i="1" s="1"/>
  <c r="S43" i="1" s="1"/>
  <c r="U44" i="1"/>
  <c r="V44" i="1" s="1"/>
  <c r="W44" i="1" s="1"/>
  <c r="U43" i="1"/>
  <c r="V43" i="1" s="1"/>
  <c r="W43" i="1" s="1"/>
  <c r="K41" i="1" l="1"/>
  <c r="I100" i="1"/>
  <c r="H100" i="1"/>
  <c r="U31" i="1"/>
  <c r="Q31" i="1"/>
  <c r="M31" i="1"/>
  <c r="I31" i="1"/>
  <c r="S39" i="1"/>
  <c r="R39" i="1"/>
  <c r="Q39" i="1"/>
  <c r="O39" i="1"/>
  <c r="N39" i="1"/>
  <c r="M39" i="1"/>
  <c r="K39" i="1"/>
  <c r="J39" i="1"/>
  <c r="I39" i="1"/>
  <c r="U39" i="1"/>
  <c r="V39" i="1" s="1"/>
  <c r="W39" i="1" s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I23" i="1"/>
  <c r="H22" i="1"/>
  <c r="H21" i="1" s="1"/>
  <c r="H18" i="1"/>
  <c r="H12" i="1"/>
  <c r="H9" i="1"/>
  <c r="G22" i="1"/>
  <c r="G21" i="1" s="1"/>
  <c r="G18" i="1"/>
  <c r="G12" i="1"/>
  <c r="G9" i="1"/>
  <c r="W41" i="1"/>
  <c r="W37" i="1"/>
  <c r="V37" i="1"/>
  <c r="V41" i="1"/>
  <c r="U41" i="1"/>
  <c r="U37" i="1"/>
  <c r="S41" i="1"/>
  <c r="S37" i="1"/>
  <c r="R41" i="1"/>
  <c r="R37" i="1"/>
  <c r="Q41" i="1"/>
  <c r="Q37" i="1"/>
  <c r="O41" i="1"/>
  <c r="O37" i="1"/>
  <c r="N41" i="1"/>
  <c r="N37" i="1"/>
  <c r="M41" i="1"/>
  <c r="M37" i="1"/>
  <c r="L42" i="1"/>
  <c r="K37" i="1"/>
  <c r="J41" i="1"/>
  <c r="J37" i="1"/>
  <c r="I41" i="1"/>
  <c r="I37" i="1"/>
  <c r="H25" i="1" l="1"/>
  <c r="H27" i="1" s="1"/>
  <c r="G25" i="1"/>
  <c r="G27" i="1" s="1"/>
  <c r="G169" i="1"/>
  <c r="G168" i="1"/>
  <c r="F168" i="1"/>
  <c r="E168" i="1"/>
  <c r="D16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R32" i="1"/>
  <c r="P32" i="1"/>
  <c r="X94" i="1"/>
  <c r="T94" i="1"/>
  <c r="P94" i="1"/>
  <c r="L94" i="1"/>
  <c r="W94" i="1" l="1"/>
  <c r="G170" i="1"/>
  <c r="G173" i="1" s="1"/>
  <c r="F170" i="1"/>
  <c r="F169" i="1"/>
  <c r="U94" i="1"/>
  <c r="V94" i="1"/>
  <c r="F171" i="1"/>
  <c r="S94" i="1"/>
  <c r="E169" i="1"/>
  <c r="Q94" i="1"/>
  <c r="R94" i="1"/>
  <c r="E171" i="1"/>
  <c r="O94" i="1"/>
  <c r="E170" i="1"/>
  <c r="D170" i="1"/>
  <c r="N94" i="1"/>
  <c r="D169" i="1"/>
  <c r="M94" i="1"/>
  <c r="D171" i="1"/>
  <c r="K94" i="1"/>
  <c r="I168" i="1"/>
  <c r="H168" i="1"/>
  <c r="I40" i="1"/>
  <c r="X121" i="1"/>
  <c r="T5" i="11" s="1"/>
  <c r="T13" i="11" s="1"/>
  <c r="W121" i="1"/>
  <c r="S5" i="11" s="1"/>
  <c r="S13" i="11" s="1"/>
  <c r="V121" i="1"/>
  <c r="R5" i="11" s="1"/>
  <c r="R13" i="11" s="1"/>
  <c r="U121" i="1"/>
  <c r="Q5" i="11" s="1"/>
  <c r="Q13" i="11" s="1"/>
  <c r="T121" i="1"/>
  <c r="P5" i="11" s="1"/>
  <c r="P13" i="11" s="1"/>
  <c r="S121" i="1"/>
  <c r="O5" i="11" s="1"/>
  <c r="O13" i="11" s="1"/>
  <c r="R121" i="1"/>
  <c r="N5" i="11" s="1"/>
  <c r="N13" i="11" s="1"/>
  <c r="Q121" i="1"/>
  <c r="M5" i="11" s="1"/>
  <c r="M13" i="11" s="1"/>
  <c r="P121" i="1"/>
  <c r="L5" i="11" s="1"/>
  <c r="L13" i="11" s="1"/>
  <c r="O121" i="1"/>
  <c r="K5" i="11" s="1"/>
  <c r="K13" i="11" s="1"/>
  <c r="N121" i="1"/>
  <c r="J5" i="11" s="1"/>
  <c r="J13" i="11" s="1"/>
  <c r="M121" i="1"/>
  <c r="I5" i="11" s="1"/>
  <c r="I13" i="11" s="1"/>
  <c r="L121" i="1"/>
  <c r="H5" i="11" s="1"/>
  <c r="H13" i="11" s="1"/>
  <c r="K121" i="1"/>
  <c r="G5" i="11" s="1"/>
  <c r="G13" i="11" s="1"/>
  <c r="J121" i="1"/>
  <c r="F5" i="11" s="1"/>
  <c r="F13" i="11" s="1"/>
  <c r="I121" i="1"/>
  <c r="E5" i="11" s="1"/>
  <c r="E13" i="11" s="1"/>
  <c r="H121" i="1"/>
  <c r="D5" i="11" s="1"/>
  <c r="D13" i="11" s="1"/>
  <c r="X117" i="1"/>
  <c r="T4" i="11" s="1"/>
  <c r="W117" i="1"/>
  <c r="S4" i="11" s="1"/>
  <c r="V117" i="1"/>
  <c r="R4" i="11" s="1"/>
  <c r="U117" i="1"/>
  <c r="Q4" i="11" s="1"/>
  <c r="T117" i="1"/>
  <c r="P4" i="11" s="1"/>
  <c r="S117" i="1"/>
  <c r="O4" i="11" s="1"/>
  <c r="R117" i="1"/>
  <c r="N4" i="11" s="1"/>
  <c r="Q117" i="1"/>
  <c r="M4" i="11" s="1"/>
  <c r="P117" i="1"/>
  <c r="L4" i="11" s="1"/>
  <c r="O117" i="1"/>
  <c r="K4" i="11" s="1"/>
  <c r="N117" i="1"/>
  <c r="J4" i="11" s="1"/>
  <c r="M117" i="1"/>
  <c r="I4" i="11" s="1"/>
  <c r="L117" i="1"/>
  <c r="H4" i="11" s="1"/>
  <c r="K117" i="1"/>
  <c r="G4" i="11" s="1"/>
  <c r="J117" i="1"/>
  <c r="F4" i="11" s="1"/>
  <c r="I117" i="1"/>
  <c r="E4" i="11" s="1"/>
  <c r="H117" i="1"/>
  <c r="D4" i="11" s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7" i="1"/>
  <c r="C4" i="11" s="1"/>
  <c r="G116" i="1"/>
  <c r="G121" i="1"/>
  <c r="C5" i="11" s="1"/>
  <c r="C13" i="11" s="1"/>
  <c r="H170" i="1" l="1"/>
  <c r="I170" i="1"/>
  <c r="J170" i="1" s="1"/>
  <c r="I171" i="1"/>
  <c r="D173" i="1"/>
  <c r="F173" i="1"/>
  <c r="H171" i="1"/>
  <c r="E173" i="1"/>
  <c r="I169" i="1"/>
  <c r="H169" i="1"/>
  <c r="J168" i="1"/>
  <c r="V119" i="1"/>
  <c r="U119" i="1"/>
  <c r="W119" i="1"/>
  <c r="X119" i="1"/>
  <c r="S119" i="1"/>
  <c r="R119" i="1"/>
  <c r="Q119" i="1"/>
  <c r="T119" i="1"/>
  <c r="O119" i="1"/>
  <c r="N119" i="1"/>
  <c r="M119" i="1"/>
  <c r="P119" i="1"/>
  <c r="K119" i="1"/>
  <c r="J119" i="1"/>
  <c r="I119" i="1"/>
  <c r="L119" i="1"/>
  <c r="H119" i="1"/>
  <c r="G119" i="1"/>
  <c r="H174" i="1" l="1"/>
  <c r="J171" i="1"/>
  <c r="H173" i="1"/>
  <c r="J169" i="1"/>
  <c r="V99" i="1"/>
  <c r="W99" i="1" s="1"/>
  <c r="X99" i="1" s="1"/>
  <c r="R99" i="1"/>
  <c r="S99" i="1" s="1"/>
  <c r="T99" i="1" s="1"/>
  <c r="U99" i="1" s="1"/>
  <c r="N99" i="1"/>
  <c r="O99" i="1" s="1"/>
  <c r="P99" i="1" s="1"/>
  <c r="Q99" i="1" s="1"/>
  <c r="J173" i="1" l="1"/>
  <c r="K170" i="1" s="1"/>
  <c r="F44" i="1" s="1"/>
  <c r="K168" i="1"/>
  <c r="D44" i="1" s="1"/>
  <c r="X93" i="1"/>
  <c r="T3" i="11" s="1"/>
  <c r="T15" i="11" s="1"/>
  <c r="W93" i="1"/>
  <c r="S3" i="11" s="1"/>
  <c r="S15" i="11" s="1"/>
  <c r="V93" i="1"/>
  <c r="R3" i="11" s="1"/>
  <c r="R15" i="11" s="1"/>
  <c r="U93" i="1"/>
  <c r="Q3" i="11" s="1"/>
  <c r="Q15" i="11" s="1"/>
  <c r="T93" i="1"/>
  <c r="P3" i="11" s="1"/>
  <c r="P15" i="11" s="1"/>
  <c r="S93" i="1"/>
  <c r="O3" i="11" s="1"/>
  <c r="O15" i="11" s="1"/>
  <c r="R93" i="1"/>
  <c r="N3" i="11" s="1"/>
  <c r="N15" i="11" s="1"/>
  <c r="Q93" i="1"/>
  <c r="M3" i="11" s="1"/>
  <c r="M15" i="11" s="1"/>
  <c r="P93" i="1"/>
  <c r="L3" i="11" s="1"/>
  <c r="L15" i="11" s="1"/>
  <c r="O93" i="1"/>
  <c r="K3" i="11" s="1"/>
  <c r="K15" i="11" s="1"/>
  <c r="M93" i="1"/>
  <c r="I3" i="11" s="1"/>
  <c r="I15" i="11" s="1"/>
  <c r="L93" i="1"/>
  <c r="H3" i="11" s="1"/>
  <c r="H15" i="11" s="1"/>
  <c r="K93" i="1"/>
  <c r="G3" i="11" s="1"/>
  <c r="G15" i="11" s="1"/>
  <c r="I93" i="1"/>
  <c r="E3" i="11" s="1"/>
  <c r="E15" i="11" s="1"/>
  <c r="H93" i="1"/>
  <c r="D3" i="11" s="1"/>
  <c r="D15" i="11" s="1"/>
  <c r="G93" i="1"/>
  <c r="C3" i="11" s="1"/>
  <c r="C15" i="11" s="1"/>
  <c r="K171" i="1" l="1"/>
  <c r="G44" i="1" s="1"/>
  <c r="K169" i="1"/>
  <c r="E44" i="1" s="1"/>
  <c r="AA44" i="1" s="1"/>
  <c r="H94" i="1"/>
  <c r="J94" i="1"/>
  <c r="I94" i="1"/>
  <c r="K173" i="1"/>
  <c r="J93" i="1"/>
  <c r="F3" i="11" s="1"/>
  <c r="F15" i="11" s="1"/>
  <c r="G94" i="1" l="1"/>
  <c r="X9" i="1"/>
  <c r="X12" i="1"/>
  <c r="X18" i="1"/>
  <c r="X21" i="1"/>
  <c r="X29" i="1"/>
  <c r="X30" i="1"/>
  <c r="X38" i="1"/>
  <c r="X40" i="1"/>
  <c r="X42" i="1"/>
  <c r="X49" i="1"/>
  <c r="X104" i="1"/>
  <c r="X33" i="1" l="1"/>
  <c r="X25" i="1"/>
  <c r="X27" i="1" s="1"/>
  <c r="X108" i="1"/>
  <c r="X124" i="1"/>
  <c r="X122" i="1" s="1"/>
  <c r="T6" i="11" s="1"/>
  <c r="T8" i="11" s="1"/>
  <c r="T14" i="11" s="1"/>
  <c r="T10" i="11"/>
  <c r="X100" i="1"/>
  <c r="X95" i="1"/>
  <c r="X107" i="1" s="1"/>
  <c r="X96" i="1"/>
  <c r="X80" i="1"/>
  <c r="X79" i="1"/>
  <c r="Z42" i="1" l="1"/>
  <c r="Z40" i="1"/>
  <c r="Z38" i="1"/>
  <c r="H190" i="1" l="1"/>
  <c r="H189" i="1"/>
  <c r="H188" i="1"/>
  <c r="G187" i="1"/>
  <c r="G186" i="1"/>
  <c r="G185" i="1"/>
  <c r="F184" i="1"/>
  <c r="F183" i="1"/>
  <c r="F182" i="1"/>
  <c r="E181" i="1"/>
  <c r="E180" i="1"/>
  <c r="E178" i="1"/>
  <c r="D181" i="1"/>
  <c r="D179" i="1"/>
  <c r="D178" i="1"/>
  <c r="E192" i="1" l="1"/>
  <c r="H192" i="1"/>
  <c r="D192" i="1"/>
  <c r="G192" i="1"/>
  <c r="F192" i="1"/>
  <c r="F196" i="1" l="1"/>
  <c r="D196" i="1"/>
  <c r="C200" i="1"/>
  <c r="G200" i="1"/>
  <c r="G196" i="1"/>
  <c r="C204" i="1"/>
  <c r="F200" i="1"/>
  <c r="H196" i="1"/>
  <c r="H200" i="1"/>
  <c r="E200" i="1"/>
  <c r="D200" i="1"/>
  <c r="D204" i="1"/>
  <c r="E196" i="1"/>
  <c r="E204" i="1"/>
  <c r="C196" i="1"/>
  <c r="W104" i="1" l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H124" i="1" l="1"/>
  <c r="H122" i="1" s="1"/>
  <c r="D6" i="11" s="1"/>
  <c r="D8" i="11" s="1"/>
  <c r="D14" i="11" s="1"/>
  <c r="D10" i="11"/>
  <c r="J100" i="1"/>
  <c r="F10" i="11"/>
  <c r="J124" i="1"/>
  <c r="J122" i="1" s="1"/>
  <c r="F6" i="11" s="1"/>
  <c r="F8" i="11" s="1"/>
  <c r="F14" i="11" s="1"/>
  <c r="L124" i="1"/>
  <c r="L122" i="1" s="1"/>
  <c r="H6" i="11" s="1"/>
  <c r="H8" i="11" s="1"/>
  <c r="H14" i="11" s="1"/>
  <c r="H10" i="11"/>
  <c r="J10" i="11"/>
  <c r="N124" i="1"/>
  <c r="N122" i="1" s="1"/>
  <c r="J6" i="11" s="1"/>
  <c r="P124" i="1"/>
  <c r="P122" i="1" s="1"/>
  <c r="L6" i="11" s="1"/>
  <c r="L8" i="11" s="1"/>
  <c r="L14" i="11" s="1"/>
  <c r="L10" i="11"/>
  <c r="N10" i="11"/>
  <c r="R124" i="1"/>
  <c r="R122" i="1" s="1"/>
  <c r="N6" i="11" s="1"/>
  <c r="N8" i="11" s="1"/>
  <c r="N14" i="11" s="1"/>
  <c r="T124" i="1"/>
  <c r="T122" i="1" s="1"/>
  <c r="P6" i="11" s="1"/>
  <c r="P8" i="11" s="1"/>
  <c r="P14" i="11" s="1"/>
  <c r="P10" i="11"/>
  <c r="R10" i="11"/>
  <c r="V124" i="1"/>
  <c r="V122" i="1" s="1"/>
  <c r="R6" i="11" s="1"/>
  <c r="R8" i="11" s="1"/>
  <c r="R14" i="11" s="1"/>
  <c r="G124" i="1"/>
  <c r="C6" i="11" s="1"/>
  <c r="C8" i="11" s="1"/>
  <c r="C14" i="11" s="1"/>
  <c r="C10" i="11"/>
  <c r="E10" i="11"/>
  <c r="I124" i="1"/>
  <c r="I122" i="1" s="1"/>
  <c r="E6" i="11" s="1"/>
  <c r="E8" i="11" s="1"/>
  <c r="E14" i="11" s="1"/>
  <c r="K124" i="1"/>
  <c r="K122" i="1" s="1"/>
  <c r="G6" i="11" s="1"/>
  <c r="G8" i="11" s="1"/>
  <c r="G14" i="11" s="1"/>
  <c r="G10" i="11"/>
  <c r="I10" i="11"/>
  <c r="M124" i="1"/>
  <c r="M122" i="1" s="1"/>
  <c r="I6" i="11" s="1"/>
  <c r="I8" i="11" s="1"/>
  <c r="I14" i="11" s="1"/>
  <c r="O124" i="1"/>
  <c r="O122" i="1" s="1"/>
  <c r="K6" i="11" s="1"/>
  <c r="K8" i="11" s="1"/>
  <c r="K14" i="11" s="1"/>
  <c r="K10" i="11"/>
  <c r="M10" i="11"/>
  <c r="Q124" i="1"/>
  <c r="Q122" i="1" s="1"/>
  <c r="M6" i="11" s="1"/>
  <c r="M8" i="11" s="1"/>
  <c r="M14" i="11" s="1"/>
  <c r="S124" i="1"/>
  <c r="S122" i="1" s="1"/>
  <c r="O6" i="11" s="1"/>
  <c r="O8" i="11" s="1"/>
  <c r="O14" i="11" s="1"/>
  <c r="O10" i="11"/>
  <c r="Q10" i="11"/>
  <c r="U124" i="1"/>
  <c r="U122" i="1" s="1"/>
  <c r="Q6" i="11" s="1"/>
  <c r="Q8" i="11" s="1"/>
  <c r="Q14" i="11" s="1"/>
  <c r="W124" i="1"/>
  <c r="W122" i="1" s="1"/>
  <c r="S6" i="11" s="1"/>
  <c r="S8" i="11" s="1"/>
  <c r="S14" i="11" s="1"/>
  <c r="S10" i="11"/>
  <c r="K95" i="1"/>
  <c r="K100" i="1"/>
  <c r="K96" i="1"/>
  <c r="W95" i="1"/>
  <c r="W100" i="1"/>
  <c r="W96" i="1"/>
  <c r="H95" i="1"/>
  <c r="H96" i="1"/>
  <c r="L100" i="1"/>
  <c r="L95" i="1"/>
  <c r="L96" i="1"/>
  <c r="N100" i="1"/>
  <c r="N95" i="1"/>
  <c r="P100" i="1"/>
  <c r="P95" i="1"/>
  <c r="P96" i="1"/>
  <c r="R95" i="1"/>
  <c r="R100" i="1"/>
  <c r="R96" i="1"/>
  <c r="T100" i="1"/>
  <c r="T95" i="1"/>
  <c r="T96" i="1"/>
  <c r="V95" i="1"/>
  <c r="V100" i="1"/>
  <c r="V96" i="1"/>
  <c r="I95" i="1"/>
  <c r="I96" i="1"/>
  <c r="M100" i="1"/>
  <c r="M95" i="1"/>
  <c r="M96" i="1"/>
  <c r="O95" i="1"/>
  <c r="O100" i="1"/>
  <c r="O96" i="1"/>
  <c r="Q95" i="1"/>
  <c r="Q100" i="1"/>
  <c r="Q96" i="1"/>
  <c r="S95" i="1"/>
  <c r="S100" i="1"/>
  <c r="S96" i="1"/>
  <c r="U100" i="1"/>
  <c r="U95" i="1"/>
  <c r="U96" i="1"/>
  <c r="J96" i="1"/>
  <c r="J95" i="1"/>
  <c r="G128" i="1"/>
  <c r="F128" i="1"/>
  <c r="E128" i="1"/>
  <c r="D128" i="1"/>
  <c r="T30" i="1"/>
  <c r="P30" i="1"/>
  <c r="L30" i="1"/>
  <c r="H30" i="1"/>
  <c r="W29" i="1"/>
  <c r="V29" i="1"/>
  <c r="U29" i="1"/>
  <c r="T29" i="1"/>
  <c r="S29" i="1"/>
  <c r="R29" i="1"/>
  <c r="Q29" i="1"/>
  <c r="P29" i="1"/>
  <c r="M29" i="1"/>
  <c r="L29" i="1"/>
  <c r="K29" i="1"/>
  <c r="J29" i="1"/>
  <c r="I29" i="1"/>
  <c r="H29" i="1"/>
  <c r="H33" i="1" l="1"/>
  <c r="L33" i="1"/>
  <c r="P33" i="1"/>
  <c r="T33" i="1"/>
  <c r="I128" i="1"/>
  <c r="H128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T42" i="1"/>
  <c r="G158" i="1" s="1"/>
  <c r="P42" i="1"/>
  <c r="F158" i="1" s="1"/>
  <c r="E158" i="1"/>
  <c r="T40" i="1"/>
  <c r="P40" i="1"/>
  <c r="L40" i="1"/>
  <c r="T38" i="1"/>
  <c r="P38" i="1"/>
  <c r="L38" i="1"/>
  <c r="W21" i="1"/>
  <c r="V21" i="1"/>
  <c r="U21" i="1"/>
  <c r="T21" i="1"/>
  <c r="S21" i="1"/>
  <c r="R21" i="1"/>
  <c r="Q21" i="1"/>
  <c r="P21" i="1"/>
  <c r="O21" i="1"/>
  <c r="M21" i="1"/>
  <c r="L21" i="1"/>
  <c r="K21" i="1"/>
  <c r="J21" i="1"/>
  <c r="I21" i="1"/>
  <c r="W18" i="1"/>
  <c r="W108" i="1" s="1"/>
  <c r="V18" i="1"/>
  <c r="V108" i="1" s="1"/>
  <c r="U18" i="1"/>
  <c r="U108" i="1" s="1"/>
  <c r="T18" i="1"/>
  <c r="T108" i="1" s="1"/>
  <c r="S18" i="1"/>
  <c r="S108" i="1" s="1"/>
  <c r="R18" i="1"/>
  <c r="R108" i="1" s="1"/>
  <c r="Q18" i="1"/>
  <c r="Q108" i="1" s="1"/>
  <c r="P18" i="1"/>
  <c r="P108" i="1" s="1"/>
  <c r="O18" i="1"/>
  <c r="O108" i="1" s="1"/>
  <c r="N18" i="1"/>
  <c r="M18" i="1"/>
  <c r="M108" i="1" s="1"/>
  <c r="L18" i="1"/>
  <c r="L108" i="1" s="1"/>
  <c r="K18" i="1"/>
  <c r="K108" i="1" s="1"/>
  <c r="J18" i="1"/>
  <c r="J108" i="1" s="1"/>
  <c r="I18" i="1"/>
  <c r="I108" i="1" s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W107" i="1" l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F129" i="1"/>
  <c r="G129" i="1"/>
  <c r="D129" i="1"/>
  <c r="L25" i="1"/>
  <c r="L27" i="1" s="1"/>
  <c r="L80" i="1"/>
  <c r="L79" i="1"/>
  <c r="I25" i="1"/>
  <c r="I27" i="1" s="1"/>
  <c r="I79" i="1"/>
  <c r="I80" i="1"/>
  <c r="M25" i="1"/>
  <c r="M27" i="1" s="1"/>
  <c r="M79" i="1"/>
  <c r="M80" i="1"/>
  <c r="Q25" i="1"/>
  <c r="Q27" i="1" s="1"/>
  <c r="Q79" i="1"/>
  <c r="Q80" i="1"/>
  <c r="U25" i="1"/>
  <c r="U27" i="1" s="1"/>
  <c r="U79" i="1"/>
  <c r="U80" i="1"/>
  <c r="E148" i="1"/>
  <c r="Q30" i="1"/>
  <c r="Q33" i="1" s="1"/>
  <c r="T25" i="1"/>
  <c r="T27" i="1" s="1"/>
  <c r="T80" i="1"/>
  <c r="T79" i="1"/>
  <c r="J25" i="1"/>
  <c r="J27" i="1" s="1"/>
  <c r="J79" i="1"/>
  <c r="J80" i="1"/>
  <c r="N79" i="1"/>
  <c r="R25" i="1"/>
  <c r="R27" i="1" s="1"/>
  <c r="R79" i="1"/>
  <c r="R80" i="1"/>
  <c r="V25" i="1"/>
  <c r="V27" i="1" s="1"/>
  <c r="V80" i="1"/>
  <c r="V79" i="1"/>
  <c r="F148" i="1"/>
  <c r="M30" i="1"/>
  <c r="M33" i="1" s="1"/>
  <c r="P25" i="1"/>
  <c r="P27" i="1" s="1"/>
  <c r="P80" i="1"/>
  <c r="P79" i="1"/>
  <c r="U30" i="1"/>
  <c r="U33" i="1" s="1"/>
  <c r="K25" i="1"/>
  <c r="K27" i="1" s="1"/>
  <c r="K80" i="1"/>
  <c r="K79" i="1"/>
  <c r="O25" i="1"/>
  <c r="O27" i="1" s="1"/>
  <c r="O79" i="1"/>
  <c r="O80" i="1"/>
  <c r="S25" i="1"/>
  <c r="S27" i="1" s="1"/>
  <c r="S80" i="1"/>
  <c r="S79" i="1"/>
  <c r="W25" i="1"/>
  <c r="W27" i="1" s="1"/>
  <c r="W79" i="1"/>
  <c r="W80" i="1"/>
  <c r="G148" i="1"/>
  <c r="I30" i="1"/>
  <c r="I33" i="1" s="1"/>
  <c r="F138" i="1"/>
  <c r="E138" i="1"/>
  <c r="G138" i="1"/>
  <c r="J128" i="1"/>
  <c r="I42" i="1"/>
  <c r="D159" i="1" s="1"/>
  <c r="J40" i="1"/>
  <c r="Q42" i="1"/>
  <c r="F159" i="1" s="1"/>
  <c r="I38" i="1"/>
  <c r="M38" i="1"/>
  <c r="E129" i="1"/>
  <c r="Q38" i="1"/>
  <c r="U42" i="1"/>
  <c r="G159" i="1" s="1"/>
  <c r="U40" i="1"/>
  <c r="U38" i="1"/>
  <c r="R40" i="1"/>
  <c r="Q40" i="1"/>
  <c r="M42" i="1"/>
  <c r="E159" i="1" s="1"/>
  <c r="N40" i="1"/>
  <c r="M40" i="1"/>
  <c r="H38" i="1"/>
  <c r="H49" i="1"/>
  <c r="H42" i="1"/>
  <c r="D158" i="1" s="1"/>
  <c r="H40" i="1"/>
  <c r="G49" i="1"/>
  <c r="H108" i="1" l="1"/>
  <c r="H107" i="1"/>
  <c r="X106" i="1"/>
  <c r="W106" i="1"/>
  <c r="X109" i="1"/>
  <c r="W109" i="1"/>
  <c r="V81" i="1"/>
  <c r="T106" i="1"/>
  <c r="S106" i="1"/>
  <c r="V106" i="1"/>
  <c r="U106" i="1"/>
  <c r="R81" i="1"/>
  <c r="P106" i="1"/>
  <c r="Q106" i="1"/>
  <c r="O106" i="1"/>
  <c r="R106" i="1"/>
  <c r="P109" i="1"/>
  <c r="O109" i="1"/>
  <c r="Q109" i="1"/>
  <c r="R109" i="1"/>
  <c r="L106" i="1"/>
  <c r="K106" i="1"/>
  <c r="N106" i="1"/>
  <c r="M106" i="1"/>
  <c r="E130" i="1"/>
  <c r="E131" i="1"/>
  <c r="X66" i="1"/>
  <c r="G130" i="1"/>
  <c r="G133" i="1" s="1"/>
  <c r="X72" i="1"/>
  <c r="X81" i="1"/>
  <c r="E150" i="1"/>
  <c r="L81" i="1"/>
  <c r="K81" i="1"/>
  <c r="M81" i="1"/>
  <c r="D148" i="1"/>
  <c r="H148" i="1" s="1"/>
  <c r="G149" i="1"/>
  <c r="R66" i="1"/>
  <c r="V30" i="1"/>
  <c r="V33" i="1" s="1"/>
  <c r="N81" i="1"/>
  <c r="D149" i="1"/>
  <c r="T81" i="1"/>
  <c r="S81" i="1"/>
  <c r="U81" i="1"/>
  <c r="F149" i="1"/>
  <c r="R42" i="1"/>
  <c r="F160" i="1" s="1"/>
  <c r="D150" i="1"/>
  <c r="H159" i="1"/>
  <c r="I159" i="1"/>
  <c r="R72" i="1"/>
  <c r="W81" i="1"/>
  <c r="W72" i="1"/>
  <c r="P81" i="1"/>
  <c r="O81" i="1"/>
  <c r="P72" i="1"/>
  <c r="O72" i="1"/>
  <c r="Q81" i="1"/>
  <c r="Q72" i="1"/>
  <c r="N30" i="1"/>
  <c r="I158" i="1"/>
  <c r="H158" i="1"/>
  <c r="H80" i="1"/>
  <c r="H79" i="1"/>
  <c r="E149" i="1"/>
  <c r="F150" i="1"/>
  <c r="W38" i="1"/>
  <c r="W66" i="1"/>
  <c r="F139" i="1"/>
  <c r="E139" i="1"/>
  <c r="P66" i="1"/>
  <c r="G139" i="1"/>
  <c r="D139" i="1"/>
  <c r="O66" i="1"/>
  <c r="D138" i="1"/>
  <c r="Q66" i="1"/>
  <c r="N42" i="1"/>
  <c r="E160" i="1" s="1"/>
  <c r="V38" i="1"/>
  <c r="I129" i="1"/>
  <c r="H129" i="1"/>
  <c r="D130" i="1"/>
  <c r="J38" i="1"/>
  <c r="K40" i="1"/>
  <c r="J30" i="1"/>
  <c r="J33" i="1" s="1"/>
  <c r="F130" i="1"/>
  <c r="R30" i="1"/>
  <c r="R33" i="1" s="1"/>
  <c r="J42" i="1"/>
  <c r="D160" i="1" s="1"/>
  <c r="V42" i="1"/>
  <c r="G160" i="1" s="1"/>
  <c r="G163" i="1" s="1"/>
  <c r="V40" i="1"/>
  <c r="R38" i="1"/>
  <c r="S40" i="1"/>
  <c r="U82" i="1" s="1"/>
  <c r="O38" i="1"/>
  <c r="N38" i="1"/>
  <c r="O40" i="1"/>
  <c r="R82" i="1" s="1"/>
  <c r="W105" i="1" l="1"/>
  <c r="W112" i="1" s="1"/>
  <c r="X105" i="1"/>
  <c r="X112" i="1" s="1"/>
  <c r="V105" i="1"/>
  <c r="T105" i="1"/>
  <c r="U105" i="1"/>
  <c r="S105" i="1"/>
  <c r="T109" i="1"/>
  <c r="S109" i="1"/>
  <c r="V109" i="1"/>
  <c r="U109" i="1"/>
  <c r="R97" i="1"/>
  <c r="R105" i="1"/>
  <c r="R111" i="1" s="1"/>
  <c r="Q105" i="1"/>
  <c r="Q111" i="1" s="1"/>
  <c r="P105" i="1"/>
  <c r="P112" i="1" s="1"/>
  <c r="O105" i="1"/>
  <c r="O112" i="1" s="1"/>
  <c r="N97" i="1"/>
  <c r="L105" i="1"/>
  <c r="K105" i="1"/>
  <c r="M105" i="1"/>
  <c r="L109" i="1"/>
  <c r="M109" i="1"/>
  <c r="K109" i="1"/>
  <c r="N109" i="1"/>
  <c r="O42" i="1"/>
  <c r="E161" i="1" s="1"/>
  <c r="E163" i="1" s="1"/>
  <c r="W87" i="1"/>
  <c r="E133" i="1"/>
  <c r="P87" i="1"/>
  <c r="X97" i="1"/>
  <c r="W97" i="1"/>
  <c r="R87" i="1"/>
  <c r="T97" i="1"/>
  <c r="U97" i="1"/>
  <c r="N74" i="1"/>
  <c r="L97" i="1"/>
  <c r="M97" i="1"/>
  <c r="P97" i="1"/>
  <c r="Q97" i="1"/>
  <c r="V97" i="1"/>
  <c r="O87" i="1"/>
  <c r="U72" i="1"/>
  <c r="X87" i="1"/>
  <c r="Q87" i="1"/>
  <c r="K72" i="1"/>
  <c r="H149" i="1"/>
  <c r="X74" i="1"/>
  <c r="X73" i="1"/>
  <c r="X75" i="1"/>
  <c r="X67" i="1"/>
  <c r="X68" i="1"/>
  <c r="Q82" i="1"/>
  <c r="I148" i="1"/>
  <c r="J148" i="1" s="1"/>
  <c r="S72" i="1"/>
  <c r="L72" i="1"/>
  <c r="N72" i="1"/>
  <c r="S30" i="1"/>
  <c r="S33" i="1" s="1"/>
  <c r="S73" i="1"/>
  <c r="T75" i="1"/>
  <c r="S74" i="1"/>
  <c r="T73" i="1"/>
  <c r="S75" i="1"/>
  <c r="T74" i="1"/>
  <c r="U73" i="1"/>
  <c r="U75" i="1"/>
  <c r="U74" i="1"/>
  <c r="O30" i="1"/>
  <c r="O73" i="1"/>
  <c r="P75" i="1"/>
  <c r="O75" i="1"/>
  <c r="P74" i="1"/>
  <c r="O74" i="1"/>
  <c r="P73" i="1"/>
  <c r="Q73" i="1"/>
  <c r="Q74" i="1"/>
  <c r="Q75" i="1"/>
  <c r="V73" i="1"/>
  <c r="G150" i="1"/>
  <c r="I150" i="1" s="1"/>
  <c r="V82" i="1"/>
  <c r="W30" i="1"/>
  <c r="W33" i="1" s="1"/>
  <c r="W73" i="1"/>
  <c r="W75" i="1"/>
  <c r="W74" i="1"/>
  <c r="J159" i="1"/>
  <c r="R73" i="1"/>
  <c r="T72" i="1"/>
  <c r="V74" i="1"/>
  <c r="D151" i="1"/>
  <c r="D153" i="1" s="1"/>
  <c r="K82" i="1"/>
  <c r="L82" i="1"/>
  <c r="I149" i="1"/>
  <c r="V72" i="1"/>
  <c r="R74" i="1"/>
  <c r="M72" i="1"/>
  <c r="K30" i="1"/>
  <c r="K33" i="1" s="1"/>
  <c r="K73" i="1"/>
  <c r="L75" i="1"/>
  <c r="L73" i="1"/>
  <c r="K75" i="1"/>
  <c r="L74" i="1"/>
  <c r="K74" i="1"/>
  <c r="M75" i="1"/>
  <c r="M74" i="1"/>
  <c r="M73" i="1"/>
  <c r="N73" i="1"/>
  <c r="E151" i="1"/>
  <c r="E153" i="1" s="1"/>
  <c r="O82" i="1"/>
  <c r="P82" i="1"/>
  <c r="F151" i="1"/>
  <c r="F153" i="1" s="1"/>
  <c r="S82" i="1"/>
  <c r="T82" i="1"/>
  <c r="H160" i="1"/>
  <c r="I160" i="1"/>
  <c r="M82" i="1"/>
  <c r="J158" i="1"/>
  <c r="V75" i="1"/>
  <c r="N82" i="1"/>
  <c r="E140" i="1"/>
  <c r="Q68" i="1"/>
  <c r="O67" i="1"/>
  <c r="E141" i="1"/>
  <c r="O68" i="1"/>
  <c r="P67" i="1"/>
  <c r="P68" i="1"/>
  <c r="F131" i="1"/>
  <c r="F133" i="1" s="1"/>
  <c r="S66" i="1"/>
  <c r="T66" i="1"/>
  <c r="U66" i="1"/>
  <c r="V66" i="1"/>
  <c r="G140" i="1"/>
  <c r="G143" i="1" s="1"/>
  <c r="W68" i="1"/>
  <c r="H139" i="1"/>
  <c r="I139" i="1"/>
  <c r="Q67" i="1"/>
  <c r="M66" i="1"/>
  <c r="L66" i="1"/>
  <c r="N66" i="1"/>
  <c r="W67" i="1"/>
  <c r="R67" i="1"/>
  <c r="F140" i="1"/>
  <c r="R68" i="1"/>
  <c r="D140" i="1"/>
  <c r="I138" i="1"/>
  <c r="H138" i="1"/>
  <c r="I130" i="1"/>
  <c r="J129" i="1"/>
  <c r="K42" i="1"/>
  <c r="D161" i="1" s="1"/>
  <c r="S42" i="1"/>
  <c r="F161" i="1" s="1"/>
  <c r="F163" i="1" s="1"/>
  <c r="S38" i="1"/>
  <c r="V67" i="1" s="1"/>
  <c r="K38" i="1"/>
  <c r="N67" i="1" s="1"/>
  <c r="D131" i="1"/>
  <c r="H130" i="1"/>
  <c r="W40" i="1"/>
  <c r="X82" i="1" s="1"/>
  <c r="W42" i="1"/>
  <c r="R112" i="1" l="1"/>
  <c r="O111" i="1"/>
  <c r="G108" i="1"/>
  <c r="W111" i="1"/>
  <c r="X111" i="1"/>
  <c r="U112" i="1"/>
  <c r="U111" i="1"/>
  <c r="S112" i="1"/>
  <c r="S111" i="1"/>
  <c r="V112" i="1"/>
  <c r="V111" i="1"/>
  <c r="T112" i="1"/>
  <c r="T111" i="1"/>
  <c r="P111" i="1"/>
  <c r="Q112" i="1"/>
  <c r="K112" i="1"/>
  <c r="K111" i="1"/>
  <c r="M112" i="1"/>
  <c r="M111" i="1"/>
  <c r="L112" i="1"/>
  <c r="L111" i="1"/>
  <c r="R98" i="1"/>
  <c r="S98" i="1" s="1"/>
  <c r="T98" i="1" s="1"/>
  <c r="U98" i="1" s="1"/>
  <c r="O97" i="1"/>
  <c r="K88" i="1"/>
  <c r="Q88" i="1"/>
  <c r="Q89" i="1" s="1"/>
  <c r="X88" i="1"/>
  <c r="X89" i="1" s="1"/>
  <c r="N98" i="1"/>
  <c r="O98" i="1" s="1"/>
  <c r="P98" i="1" s="1"/>
  <c r="Q98" i="1" s="1"/>
  <c r="V98" i="1"/>
  <c r="W98" i="1" s="1"/>
  <c r="X98" i="1" s="1"/>
  <c r="S97" i="1"/>
  <c r="T87" i="1"/>
  <c r="M87" i="1"/>
  <c r="J149" i="1"/>
  <c r="M88" i="1"/>
  <c r="W88" i="1"/>
  <c r="W89" i="1" s="1"/>
  <c r="T88" i="1"/>
  <c r="K87" i="1"/>
  <c r="V88" i="1"/>
  <c r="L88" i="1"/>
  <c r="O88" i="1"/>
  <c r="O89" i="1" s="1"/>
  <c r="S88" i="1"/>
  <c r="L87" i="1"/>
  <c r="V87" i="1"/>
  <c r="U87" i="1"/>
  <c r="P88" i="1"/>
  <c r="P89" i="1" s="1"/>
  <c r="U88" i="1"/>
  <c r="S87" i="1"/>
  <c r="N87" i="1"/>
  <c r="J160" i="1"/>
  <c r="I151" i="1"/>
  <c r="H151" i="1"/>
  <c r="G80" i="1"/>
  <c r="G79" i="1"/>
  <c r="I161" i="1"/>
  <c r="H161" i="1"/>
  <c r="D163" i="1"/>
  <c r="H163" i="1" s="1"/>
  <c r="W82" i="1"/>
  <c r="H150" i="1"/>
  <c r="G153" i="1"/>
  <c r="H153" i="1" s="1"/>
  <c r="E143" i="1"/>
  <c r="N68" i="1"/>
  <c r="K67" i="1"/>
  <c r="K68" i="1"/>
  <c r="D141" i="1"/>
  <c r="L67" i="1"/>
  <c r="L68" i="1"/>
  <c r="M67" i="1"/>
  <c r="M68" i="1"/>
  <c r="J138" i="1"/>
  <c r="H140" i="1"/>
  <c r="I140" i="1"/>
  <c r="S67" i="1"/>
  <c r="F141" i="1"/>
  <c r="F143" i="1" s="1"/>
  <c r="S68" i="1"/>
  <c r="T67" i="1"/>
  <c r="T68" i="1"/>
  <c r="U67" i="1"/>
  <c r="U68" i="1"/>
  <c r="K66" i="1"/>
  <c r="J139" i="1"/>
  <c r="V68" i="1"/>
  <c r="J130" i="1"/>
  <c r="H131" i="1"/>
  <c r="H134" i="1" s="1"/>
  <c r="I131" i="1"/>
  <c r="D133" i="1"/>
  <c r="H133" i="1" s="1"/>
  <c r="T89" i="1" l="1"/>
  <c r="L89" i="1"/>
  <c r="K89" i="1"/>
  <c r="M89" i="1"/>
  <c r="H154" i="1"/>
  <c r="U89" i="1"/>
  <c r="V89" i="1"/>
  <c r="J151" i="1"/>
  <c r="S89" i="1"/>
  <c r="J161" i="1"/>
  <c r="J163" i="1" s="1"/>
  <c r="H164" i="1"/>
  <c r="J150" i="1"/>
  <c r="I141" i="1"/>
  <c r="H141" i="1"/>
  <c r="J140" i="1"/>
  <c r="D143" i="1"/>
  <c r="H143" i="1" s="1"/>
  <c r="J131" i="1"/>
  <c r="J153" i="1" l="1"/>
  <c r="K149" i="1" s="1"/>
  <c r="E40" i="1" s="1"/>
  <c r="K151" i="1"/>
  <c r="G40" i="1" s="1"/>
  <c r="J82" i="1" s="1"/>
  <c r="K148" i="1"/>
  <c r="D40" i="1" s="1"/>
  <c r="K150" i="1"/>
  <c r="F40" i="1" s="1"/>
  <c r="J141" i="1"/>
  <c r="J143" i="1" s="1"/>
  <c r="K141" i="1" s="1"/>
  <c r="G38" i="1" s="1"/>
  <c r="J67" i="1" s="1"/>
  <c r="K161" i="1"/>
  <c r="G42" i="1" s="1"/>
  <c r="K159" i="1"/>
  <c r="E42" i="1" s="1"/>
  <c r="K158" i="1"/>
  <c r="K160" i="1"/>
  <c r="F42" i="1" s="1"/>
  <c r="H144" i="1"/>
  <c r="J133" i="1"/>
  <c r="I82" i="1" l="1"/>
  <c r="H82" i="1"/>
  <c r="K153" i="1"/>
  <c r="G82" i="1"/>
  <c r="D42" i="1"/>
  <c r="AA42" i="1" s="1"/>
  <c r="K163" i="1"/>
  <c r="J68" i="1"/>
  <c r="K140" i="1"/>
  <c r="F38" i="1" s="1"/>
  <c r="I67" i="1" s="1"/>
  <c r="K139" i="1"/>
  <c r="E38" i="1" s="1"/>
  <c r="K138" i="1"/>
  <c r="D38" i="1" s="1"/>
  <c r="K128" i="1"/>
  <c r="K130" i="1"/>
  <c r="K129" i="1"/>
  <c r="K131" i="1"/>
  <c r="G37" i="1" s="1"/>
  <c r="J109" i="1" l="1"/>
  <c r="J87" i="1"/>
  <c r="I68" i="1"/>
  <c r="H67" i="1"/>
  <c r="AA38" i="1"/>
  <c r="K143" i="1"/>
  <c r="H68" i="1"/>
  <c r="G68" i="1"/>
  <c r="J66" i="1"/>
  <c r="E37" i="1"/>
  <c r="E39" i="1" s="1"/>
  <c r="E41" i="1" s="1"/>
  <c r="F37" i="1"/>
  <c r="I109" i="1" s="1"/>
  <c r="G39" i="1"/>
  <c r="D37" i="1"/>
  <c r="G67" i="1"/>
  <c r="K133" i="1"/>
  <c r="G109" i="1" l="1"/>
  <c r="J106" i="1"/>
  <c r="H109" i="1"/>
  <c r="H87" i="1"/>
  <c r="I87" i="1"/>
  <c r="G87" i="1"/>
  <c r="G41" i="1"/>
  <c r="G43" i="1" s="1"/>
  <c r="J81" i="1"/>
  <c r="J72" i="1"/>
  <c r="AA37" i="1"/>
  <c r="D39" i="1"/>
  <c r="D41" i="1" s="1"/>
  <c r="H66" i="1"/>
  <c r="I66" i="1"/>
  <c r="G66" i="1"/>
  <c r="F39" i="1"/>
  <c r="H81" i="1" s="1"/>
  <c r="H106" i="1" l="1"/>
  <c r="G106" i="1"/>
  <c r="I106" i="1"/>
  <c r="J105" i="1"/>
  <c r="J73" i="1"/>
  <c r="J74" i="1"/>
  <c r="J75" i="1"/>
  <c r="I72" i="1"/>
  <c r="H72" i="1"/>
  <c r="I81" i="1"/>
  <c r="G81" i="1"/>
  <c r="F41" i="1"/>
  <c r="F43" i="1" s="1"/>
  <c r="I105" i="1" s="1"/>
  <c r="AA39" i="1"/>
  <c r="G72" i="1"/>
  <c r="D43" i="1"/>
  <c r="AA40" i="1"/>
  <c r="E43" i="1"/>
  <c r="AA41" i="1" l="1"/>
  <c r="I112" i="1"/>
  <c r="I111" i="1"/>
  <c r="J112" i="1"/>
  <c r="J111" i="1"/>
  <c r="H105" i="1"/>
  <c r="G105" i="1"/>
  <c r="J98" i="1"/>
  <c r="K98" i="1" s="1"/>
  <c r="L98" i="1" s="1"/>
  <c r="M98" i="1" s="1"/>
  <c r="J88" i="1"/>
  <c r="J89" i="1" s="1"/>
  <c r="H75" i="1"/>
  <c r="G74" i="1"/>
  <c r="I74" i="1"/>
  <c r="G73" i="1"/>
  <c r="H73" i="1"/>
  <c r="H74" i="1"/>
  <c r="I75" i="1"/>
  <c r="G75" i="1"/>
  <c r="I73" i="1"/>
  <c r="AA43" i="1"/>
  <c r="I88" i="1" l="1"/>
  <c r="I89" i="1" s="1"/>
  <c r="G112" i="1"/>
  <c r="H112" i="1"/>
  <c r="H111" i="1"/>
  <c r="G88" i="1"/>
  <c r="G89" i="1" s="1"/>
  <c r="H88" i="1"/>
  <c r="H89" i="1" s="1"/>
  <c r="N108" i="1" l="1"/>
  <c r="O29" i="1"/>
  <c r="O33" i="1" s="1"/>
  <c r="N29" i="1"/>
  <c r="N33" i="1" s="1"/>
  <c r="N25" i="1"/>
  <c r="N27" i="1" s="1"/>
  <c r="N21" i="1" l="1"/>
  <c r="N93" i="1"/>
  <c r="N75" i="1"/>
  <c r="N88" i="1" s="1"/>
  <c r="N89" i="1" s="1"/>
  <c r="N80" i="1"/>
  <c r="R75" i="1"/>
  <c r="R88" i="1" s="1"/>
  <c r="R89" i="1" s="1"/>
  <c r="N105" i="1"/>
  <c r="N112" i="1" l="1"/>
  <c r="N111" i="1"/>
  <c r="N96" i="1"/>
  <c r="J3" i="11"/>
  <c r="J8" i="11" l="1"/>
  <c r="J14" i="11" s="1"/>
  <c r="J15" i="11"/>
</calcChain>
</file>

<file path=xl/sharedStrings.xml><?xml version="1.0" encoding="utf-8"?>
<sst xmlns="http://schemas.openxmlformats.org/spreadsheetml/2006/main" count="347" uniqueCount="170">
  <si>
    <t>Zysk (strata) brutto</t>
  </si>
  <si>
    <t>Zysk (strata) netto</t>
  </si>
  <si>
    <t>Przychody ze sprzedaży</t>
  </si>
  <si>
    <t>Środki pieniężne</t>
  </si>
  <si>
    <t>Aktywa trwałe</t>
  </si>
  <si>
    <t>Aktywa obrotowe</t>
  </si>
  <si>
    <t>Aktywa</t>
  </si>
  <si>
    <t>Kapitał zakładowy</t>
  </si>
  <si>
    <t>Zobowiązania długoterminowe</t>
  </si>
  <si>
    <t>Zobowiązania krótkoterminowe</t>
  </si>
  <si>
    <t>Bilans (sprawozdanie z sytuacji finansowej)</t>
  </si>
  <si>
    <t>Pozostałe aktywa obrotowe</t>
  </si>
  <si>
    <t>Pozostałe aktywa</t>
  </si>
  <si>
    <t>Zobowiązania</t>
  </si>
  <si>
    <t>Pozostałe kapitały</t>
  </si>
  <si>
    <t>Pozostałe pasywa</t>
  </si>
  <si>
    <t>Pasywa</t>
  </si>
  <si>
    <t>Koszty i przychody finansowe, udział w zyskach jednostek stowarzyszonych</t>
  </si>
  <si>
    <t>Koszt własny sprzedaży, pozostałe przychody i koszty operacyjne</t>
  </si>
  <si>
    <t>Podatek dochodowy i podatek odroczony</t>
  </si>
  <si>
    <t>Zysk operacyjny</t>
  </si>
  <si>
    <t>I 2009</t>
  </si>
  <si>
    <t>Pozostałe dane</t>
  </si>
  <si>
    <t>Wartość nominalna akcji</t>
  </si>
  <si>
    <t>Rachunek zysków i strat (sprawozdanie z zysków lub strat)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</si>
  <si>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</si>
  <si>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</si>
  <si>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</si>
  <si>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</si>
  <si>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</si>
  <si>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</si>
  <si>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</si>
  <si>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</si>
  <si>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</si>
  <si>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</si>
  <si>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</si>
  <si>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</si>
  <si>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</si>
  <si>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</si>
  <si>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</si>
  <si>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</si>
  <si>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Kapitał własny</t>
  </si>
  <si>
    <t>wzrost/spadek kapitału:</t>
  </si>
  <si>
    <t>zysk/strata</t>
  </si>
  <si>
    <t>wypłata dywidendy</t>
  </si>
  <si>
    <t>inne</t>
  </si>
  <si>
    <t>sezonowość przychodów</t>
  </si>
  <si>
    <t>I</t>
  </si>
  <si>
    <t>II</t>
  </si>
  <si>
    <t>III</t>
  </si>
  <si>
    <t>IV</t>
  </si>
  <si>
    <t>razem</t>
  </si>
  <si>
    <t>wskaźnik</t>
  </si>
  <si>
    <t>ilość</t>
  </si>
  <si>
    <t>średnia</t>
  </si>
  <si>
    <t>na ostatni dzień kwartału</t>
  </si>
  <si>
    <t>Ceny zamknięcia akcji</t>
  </si>
  <si>
    <t>Razem</t>
  </si>
  <si>
    <t>Wskaźniki płynności</t>
  </si>
  <si>
    <t>płynność III stopnia</t>
  </si>
  <si>
    <t>płynność I stopnia</t>
  </si>
  <si>
    <t>Wskaźniki obrotowości</t>
  </si>
  <si>
    <t>obrót aktywami krótkoterminowymi z wyjątkiem środków pieniężnych</t>
  </si>
  <si>
    <t>obrót zobowiązaniani krótkoterminowymi</t>
  </si>
  <si>
    <t>obrót kapitałem w obrocie</t>
  </si>
  <si>
    <t>Wskaźniki zadłużenia</t>
  </si>
  <si>
    <t>Dżwignie</t>
  </si>
  <si>
    <t>Dźwignia finansowa zmodyfikowana</t>
  </si>
  <si>
    <t>Dźwignia operacyjna zmodyfikowana</t>
  </si>
  <si>
    <t>stopa zadłużenia aktywów</t>
  </si>
  <si>
    <t>stopa zadłużenia kapitałów</t>
  </si>
  <si>
    <t>Dźwignia łączna zmodyfikowana</t>
  </si>
  <si>
    <t>Wskaźniki rynkowe</t>
  </si>
  <si>
    <t>Wartość księgowa na akcję</t>
  </si>
  <si>
    <t>Zysk na akcję</t>
  </si>
  <si>
    <t>Kapitalizacja (wartość rynkowa)</t>
  </si>
  <si>
    <t>Stopa wypłat dywidendy</t>
  </si>
  <si>
    <t>Cena do wartości księgowej</t>
  </si>
  <si>
    <t>Wskaźnik na skłonność do upadłości (Z-Score zmodyfikowany)</t>
  </si>
  <si>
    <t>Kapitał w obrocie/aktywa</t>
  </si>
  <si>
    <t>Zysk operacyjny/aktywa</t>
  </si>
  <si>
    <t>Kapitalizacja/zobowiązania</t>
  </si>
  <si>
    <t>Sprzedaż/aktywa</t>
  </si>
  <si>
    <t>Struktura ceny akcji</t>
  </si>
  <si>
    <t>Majątek pomniejszony o zobowiązania krótkoterminowe</t>
  </si>
  <si>
    <t>Dywidenda na akcję</t>
  </si>
  <si>
    <t>Wartość firmy</t>
  </si>
  <si>
    <t>Kurs akcji</t>
  </si>
  <si>
    <t>kapitał obrotowy na ostatni dzień kwartału</t>
  </si>
  <si>
    <t>Dni w okresie:</t>
  </si>
  <si>
    <t>styczeń</t>
  </si>
  <si>
    <t>luty</t>
  </si>
  <si>
    <t>luty przestępny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</si>
  <si>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</si>
  <si>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</si>
  <si>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</si>
  <si>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</si>
  <si>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</si>
  <si>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</si>
  <si>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</si>
  <si>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</si>
  <si>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</si>
  <si>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</si>
  <si>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Dni</t>
  </si>
  <si>
    <t>QI</t>
  </si>
  <si>
    <t>QII</t>
  </si>
  <si>
    <t>QIII</t>
  </si>
  <si>
    <t>QIV</t>
  </si>
  <si>
    <t>QI + QII</t>
  </si>
  <si>
    <t>QII + QIII</t>
  </si>
  <si>
    <t>QIII + QIV</t>
  </si>
  <si>
    <t>QIV + QI</t>
  </si>
  <si>
    <t>QI Prz +QII</t>
  </si>
  <si>
    <t>QIV + QI Prz</t>
  </si>
  <si>
    <t>QI + QII + QIII</t>
  </si>
  <si>
    <t>QI Prz + QII + QIII</t>
  </si>
  <si>
    <t>QII + QIII + QIV</t>
  </si>
  <si>
    <t>QIII + QIV + QI</t>
  </si>
  <si>
    <t>QIV +QI + QII</t>
  </si>
  <si>
    <t>QIV + QI Prz + QII</t>
  </si>
  <si>
    <t>QIII + QIV + QI Prz</t>
  </si>
  <si>
    <t>QI Prz</t>
  </si>
  <si>
    <t>QI + QII + QIII + QIV</t>
  </si>
  <si>
    <t>QI Prz + QII + QIII + QIV</t>
  </si>
  <si>
    <t>tys. zł</t>
  </si>
  <si>
    <t>miara</t>
  </si>
  <si>
    <t>mln sztuk</t>
  </si>
  <si>
    <t>Ilość akcji</t>
  </si>
  <si>
    <t>zł</t>
  </si>
  <si>
    <t>ile razy</t>
  </si>
  <si>
    <t>dni</t>
  </si>
  <si>
    <t>I 2008</t>
  </si>
  <si>
    <t>II 2008</t>
  </si>
  <si>
    <t>III 2008</t>
  </si>
  <si>
    <t>IV 2008</t>
  </si>
  <si>
    <t>spraw-dzenie</t>
  </si>
  <si>
    <t>sezonowość kosztu własnego sprzedaży + przychody i koszty operacyjne</t>
  </si>
  <si>
    <t>kapitał obrotowy średni w okresie</t>
  </si>
  <si>
    <t>Kapitał obcy długoterminowy</t>
  </si>
  <si>
    <t>Zyskowność operacyjna sprzedaży</t>
  </si>
  <si>
    <t>Zyskowność netto sprzedaży</t>
  </si>
  <si>
    <t>Zyskowność netto aktywów</t>
  </si>
  <si>
    <t>%</t>
  </si>
  <si>
    <t>Sezonowość koszty i przychody finansowe</t>
  </si>
  <si>
    <t>Sezonowość podatek dochodowy i odroczony</t>
  </si>
  <si>
    <t>zysk operacyjny za cztery kwartały</t>
  </si>
  <si>
    <t>PKFJS za cztery kwartały</t>
  </si>
  <si>
    <t>pokrycie przychodów i kosztów finansowych oraz dochodów uzyskanych od jedniostek wycenianych metodą praw własności zyskiem operacyjnym</t>
  </si>
  <si>
    <t>Zyskowność netto kapitału</t>
  </si>
  <si>
    <t>Wskaźniki zyskowności (rentowności)</t>
  </si>
  <si>
    <t>zł/akcja</t>
  </si>
  <si>
    <t>średnioroczna</t>
  </si>
  <si>
    <t>Cena do zysku</t>
  </si>
  <si>
    <t>Stopa dywidendy historyczna</t>
  </si>
  <si>
    <t>Stopa dywidendy bieżąca</t>
  </si>
  <si>
    <t>bd</t>
  </si>
  <si>
    <t>Kapitał własny - zysk netto/aktywa</t>
  </si>
  <si>
    <t>Wskaźnik Z-Score</t>
  </si>
  <si>
    <t>Wskaźnik Z-Score gdyby nie była spółką publiczną</t>
  </si>
  <si>
    <t>Kapitalizacja/zobowiązania gdyby nie była spółką publiczną</t>
  </si>
  <si>
    <t>Dywidenda</t>
  </si>
  <si>
    <t>Sprawdzenie</t>
  </si>
  <si>
    <t>Zysk (strata) netto akcjonariuszy jednostki dominującej</t>
  </si>
  <si>
    <t>Kapitał własny przypadający akcjonariuszom jednostki dominującej</t>
  </si>
  <si>
    <t>emisja akcji (wartość nominalna)</t>
  </si>
  <si>
    <t xml:space="preserve">Sezonowość zysk netto </t>
  </si>
  <si>
    <t>Wartość księgowa</t>
  </si>
  <si>
    <t>Kurs akcji (wartość rynkowa)</t>
  </si>
  <si>
    <t>OK</t>
  </si>
  <si>
    <t>Dane finansowe Enea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</si>
</sst>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/>
    <xf numFmtId="164" fontId="0" fillId="0" borderId="0" xfId="0" applyNumberFormat="1" applyBorder="1"/>
    <xf numFmtId="0" fontId="0" fillId="0" borderId="2" xfId="0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Border="1"/>
    <xf numFmtId="10" fontId="0" fillId="0" borderId="1" xfId="0" applyNumberFormat="1" applyBorder="1"/>
    <xf numFmtId="164" fontId="0" fillId="0" borderId="0" xfId="0" applyNumberFormat="1"/>
    <xf numFmtId="164" fontId="0" fillId="2" borderId="1" xfId="0" applyNumberFormat="1" applyFill="1" applyBorder="1"/>
    <xf numFmtId="10" fontId="0" fillId="0" borderId="0" xfId="0" applyNumberFormat="1"/>
    <xf numFmtId="4" fontId="0" fillId="0" borderId="1" xfId="0" applyNumberFormat="1" applyBorder="1"/>
    <xf numFmtId="165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165" fontId="0" fillId="0" borderId="0" xfId="0" applyNumberFormat="1"/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/>
    <xf numFmtId="165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4" fontId="0" fillId="0" borderId="1" xfId="0" applyNumberFormat="1" applyFont="1" applyBorder="1"/>
    <xf numFmtId="0" fontId="2" fillId="0" borderId="1" xfId="0" applyFont="1" applyBorder="1" applyAlignment="1">
      <alignment wrapText="1"/>
    </xf>
    <xf numFmtId="8" fontId="0" fillId="0" borderId="1" xfId="0" applyNumberFormat="1" applyBorder="1"/>
    <xf numFmtId="0" fontId="0" fillId="0" borderId="1" xfId="0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/>
    <xf numFmtId="0" fontId="2" fillId="2" borderId="1" xfId="0" applyFont="1" applyFill="1" applyBorder="1"/>
    <xf numFmtId="0" fontId="2" fillId="0" borderId="0" xfId="0" applyFont="1" applyFill="1"/>
    <xf numFmtId="164" fontId="2" fillId="2" borderId="1" xfId="0" applyNumberFormat="1" applyFont="1" applyFill="1" applyBorder="1"/>
    <xf numFmtId="165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 baseline="0"/>
              <a:t>Enea - wartość rynkowa i księgowa akcji</a:t>
            </a:r>
            <a:endParaRPr lang="pl-PL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SCA!$B$13</c:f>
              <c:strCache>
                <c:ptCount val="1"/>
                <c:pt idx="0">
                  <c:v>Dywidenda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SCA!$C$13:$T$13</c:f>
              <c:numCache>
                <c:formatCode>"zł"#,##0.00_);[Red]\("zł"#,##0.00\)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0.38</c:v>
                </c:pt>
                <c:pt idx="8">
                  <c:v>0.38</c:v>
                </c:pt>
                <c:pt idx="9">
                  <c:v>0.38</c:v>
                </c:pt>
                <c:pt idx="10">
                  <c:v>0.38</c:v>
                </c:pt>
                <c:pt idx="11">
                  <c:v>0.44</c:v>
                </c:pt>
                <c:pt idx="12">
                  <c:v>0.44</c:v>
                </c:pt>
                <c:pt idx="13">
                  <c:v>0.44</c:v>
                </c:pt>
                <c:pt idx="14">
                  <c:v>0.44</c:v>
                </c:pt>
                <c:pt idx="15">
                  <c:v>0.48</c:v>
                </c:pt>
                <c:pt idx="16">
                  <c:v>0.48</c:v>
                </c:pt>
                <c:pt idx="17">
                  <c:v>0.48</c:v>
                </c:pt>
              </c:numCache>
            </c:numRef>
          </c:val>
        </c:ser>
        <c:ser>
          <c:idx val="1"/>
          <c:order val="1"/>
          <c:tx>
            <c:strRef>
              <c:f>SCA!$B$14</c:f>
              <c:strCache>
                <c:ptCount val="1"/>
                <c:pt idx="0">
                  <c:v>Kurs akcji (wartość rynkowa)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SCA!$C$14:$T$14</c:f>
              <c:numCache>
                <c:formatCode>"zł"#,##0.00_);[Red]\("zł"#,##0.00\)</c:formatCode>
                <c:ptCount val="18"/>
                <c:pt idx="0">
                  <c:v>23.881528633562883</c:v>
                </c:pt>
                <c:pt idx="1">
                  <c:v>14.250000000000004</c:v>
                </c:pt>
                <c:pt idx="2">
                  <c:v>17.380000000000003</c:v>
                </c:pt>
                <c:pt idx="3">
                  <c:v>23.300000000000004</c:v>
                </c:pt>
                <c:pt idx="4">
                  <c:v>21.400000000000002</c:v>
                </c:pt>
                <c:pt idx="5">
                  <c:v>18.729999999999997</c:v>
                </c:pt>
                <c:pt idx="6">
                  <c:v>17.600000000000005</c:v>
                </c:pt>
                <c:pt idx="7">
                  <c:v>20.949999999999996</c:v>
                </c:pt>
                <c:pt idx="8">
                  <c:v>23.7</c:v>
                </c:pt>
                <c:pt idx="9">
                  <c:v>21.2</c:v>
                </c:pt>
                <c:pt idx="10">
                  <c:v>18.000000000000007</c:v>
                </c:pt>
                <c:pt idx="11">
                  <c:v>16.100000000000009</c:v>
                </c:pt>
                <c:pt idx="12">
                  <c:v>18</c:v>
                </c:pt>
                <c:pt idx="13">
                  <c:v>17.049999999999997</c:v>
                </c:pt>
                <c:pt idx="14">
                  <c:v>15.870000000000001</c:v>
                </c:pt>
                <c:pt idx="15">
                  <c:v>16.350000000000001</c:v>
                </c:pt>
                <c:pt idx="16">
                  <c:v>15.73</c:v>
                </c:pt>
                <c:pt idx="17">
                  <c:v>14.85</c:v>
                </c:pt>
              </c:numCache>
            </c:numRef>
          </c:val>
        </c:ser>
        <c:ser>
          <c:idx val="2"/>
          <c:order val="2"/>
          <c:tx>
            <c:strRef>
              <c:f>SCA!$B$15</c:f>
              <c:strCache>
                <c:ptCount val="1"/>
                <c:pt idx="0">
                  <c:v>Wartość księgowa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p3d/>
          </c:spPr>
          <c:cat>
            <c:strRef>
              <c:f>SCA!$C$12:$T$12</c:f>
              <c:strCache>
                <c:ptCount val="18"/>
                <c:pt idx="0">
                  <c:v>IV 2008</c:v>
                </c:pt>
                <c:pt idx="1">
                  <c:v>I 2009</c:v>
                </c:pt>
                <c:pt idx="2">
                  <c:v>II 2009</c:v>
                </c:pt>
                <c:pt idx="3">
                  <c:v>III 2009</c:v>
                </c:pt>
                <c:pt idx="4">
                  <c:v>IV 2009</c:v>
                </c:pt>
                <c:pt idx="5">
                  <c:v>I 2010</c:v>
                </c:pt>
                <c:pt idx="6">
                  <c:v>II 2010</c:v>
                </c:pt>
                <c:pt idx="7">
                  <c:v>III 2010</c:v>
                </c:pt>
                <c:pt idx="8">
                  <c:v>IV 2010</c:v>
                </c:pt>
                <c:pt idx="9">
                  <c:v>I 2011</c:v>
                </c:pt>
                <c:pt idx="10">
                  <c:v>II 2011</c:v>
                </c:pt>
                <c:pt idx="11">
                  <c:v>III 2011</c:v>
                </c:pt>
                <c:pt idx="12">
                  <c:v>IV 2011</c:v>
                </c:pt>
                <c:pt idx="13">
                  <c:v>I 2012</c:v>
                </c:pt>
                <c:pt idx="14">
                  <c:v>II 2012</c:v>
                </c:pt>
                <c:pt idx="15">
                  <c:v>III 2012</c:v>
                </c:pt>
                <c:pt idx="16">
                  <c:v>IV 2012</c:v>
                </c:pt>
                <c:pt idx="17">
                  <c:v>I 2013</c:v>
                </c:pt>
              </c:strCache>
            </c:strRef>
          </c:cat>
          <c:val>
            <c:numRef>
              <c:f>SCA!$C$15:$T$15</c:f>
              <c:numCache>
                <c:formatCode>"zł"#,##0.00_);[Red]\("zł"#,##0.00\)</c:formatCode>
                <c:ptCount val="18"/>
                <c:pt idx="0">
                  <c:v>20.442762323305544</c:v>
                </c:pt>
                <c:pt idx="1">
                  <c:v>20.890571765132297</c:v>
                </c:pt>
                <c:pt idx="2">
                  <c:v>20.910576748822038</c:v>
                </c:pt>
                <c:pt idx="3">
                  <c:v>21.084550561797755</c:v>
                </c:pt>
                <c:pt idx="4">
                  <c:v>21.231940920623416</c:v>
                </c:pt>
                <c:pt idx="5">
                  <c:v>21.733170985864444</c:v>
                </c:pt>
                <c:pt idx="6">
                  <c:v>21.683306904675607</c:v>
                </c:pt>
                <c:pt idx="7">
                  <c:v>22.139670170351575</c:v>
                </c:pt>
                <c:pt idx="8">
                  <c:v>22.373303280173975</c:v>
                </c:pt>
                <c:pt idx="9">
                  <c:v>22.947231786879303</c:v>
                </c:pt>
                <c:pt idx="10">
                  <c:v>22.876585719463577</c:v>
                </c:pt>
                <c:pt idx="11">
                  <c:v>23.571178416092788</c:v>
                </c:pt>
                <c:pt idx="12">
                  <c:v>23.739946538600943</c:v>
                </c:pt>
                <c:pt idx="13">
                  <c:v>24.324571855744836</c:v>
                </c:pt>
                <c:pt idx="14">
                  <c:v>24.307654494382021</c:v>
                </c:pt>
                <c:pt idx="15">
                  <c:v>24.734124682856109</c:v>
                </c:pt>
                <c:pt idx="16">
                  <c:v>24.77865168539326</c:v>
                </c:pt>
                <c:pt idx="17">
                  <c:v>25.462989307720189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388024"/>
        <c:axId val="273384888"/>
        <c:axId val="43010552"/>
      </c:area3DChart>
      <c:catAx>
        <c:axId val="273388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3384888"/>
        <c:crosses val="autoZero"/>
        <c:auto val="1"/>
        <c:lblAlgn val="ctr"/>
        <c:lblOffset val="100"/>
        <c:noMultiLvlLbl val="0"/>
      </c:catAx>
      <c:valAx>
        <c:axId val="27338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zł&quot;#,##0.00_);[Red]\(&quot;zł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3388024"/>
        <c:crosses val="autoZero"/>
        <c:crossBetween val="midCat"/>
      </c:valAx>
      <c:serAx>
        <c:axId val="43010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73384888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16</xdr:row>
      <xdr:rowOff>80962</xdr:rowOff>
    </xdr:from>
    <xdr:to>
      <xdr:col>13</xdr:col>
      <xdr:colOff>238125</xdr:colOff>
      <xdr:row>30</xdr:row>
      <xdr:rowOff>157162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0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Z45" sqref="Z45"/>
    </sheetView>
  </sheetViews>
  <sheetFormatPr defaultColWidth="8.7109375" defaultRowHeight="15" x14ac:dyDescent="0.25"/>
  <cols>
    <col min="1" max="1" width="2.85546875" customWidth="1"/>
    <col min="2" max="2" width="41.42578125" customWidth="1"/>
    <col min="3" max="6" width="9.7109375" customWidth="1"/>
    <col min="7" max="24" width="12.7109375" customWidth="1"/>
    <col min="25" max="25" width="2.5703125" customWidth="1"/>
    <col min="26" max="26" width="9.28515625" bestFit="1" customWidth="1"/>
    <col min="27" max="27" width="10.28515625" customWidth="1"/>
  </cols>
  <sheetData>
    <row r="2" spans="2:24" x14ac:dyDescent="0.25">
      <c r="B2" s="9" t="s">
        <v>169</v>
      </c>
      <c r="C2" s="26" t="s">
        <v>125</v>
      </c>
      <c r="D2" s="26" t="s">
        <v>131</v>
      </c>
      <c r="E2" s="26" t="s">
        <v>132</v>
      </c>
      <c r="F2" s="26" t="s">
        <v>133</v>
      </c>
      <c r="G2" s="26" t="s">
        <v>134</v>
      </c>
      <c r="H2" s="26" t="s">
        <v>21</v>
      </c>
      <c r="I2" s="26" t="s">
        <v>25</v>
      </c>
      <c r="J2" s="26" t="s">
        <v>26</v>
      </c>
      <c r="K2" s="26" t="s">
        <v>27</v>
      </c>
      <c r="L2" s="26" t="s">
        <v>28</v>
      </c>
      <c r="M2" s="26" t="s">
        <v>29</v>
      </c>
      <c r="N2" s="26" t="s">
        <v>30</v>
      </c>
      <c r="O2" s="26" t="s">
        <v>31</v>
      </c>
      <c r="P2" s="26" t="s">
        <v>32</v>
      </c>
      <c r="Q2" s="26" t="s">
        <v>33</v>
      </c>
      <c r="R2" s="26" t="s">
        <v>34</v>
      </c>
      <c r="S2" s="26" t="s">
        <v>35</v>
      </c>
      <c r="T2" s="26" t="s">
        <v>36</v>
      </c>
      <c r="U2" s="26" t="s">
        <v>37</v>
      </c>
      <c r="V2" s="26" t="s">
        <v>38</v>
      </c>
      <c r="W2" s="26" t="s">
        <v>39</v>
      </c>
      <c r="X2" s="26" t="s">
        <v>40</v>
      </c>
    </row>
    <row r="3" spans="2:24" x14ac:dyDescent="0.25">
      <c r="D3" s="5"/>
      <c r="E3" s="5"/>
      <c r="F3" s="5"/>
    </row>
    <row r="4" spans="2:24" x14ac:dyDescent="0.25">
      <c r="B4" s="9" t="s">
        <v>10</v>
      </c>
      <c r="C4" s="11"/>
      <c r="D4" s="11"/>
      <c r="E4" s="11"/>
      <c r="F4" s="11"/>
      <c r="G4" s="11"/>
    </row>
    <row r="5" spans="2:24" x14ac:dyDescent="0.25">
      <c r="D5" s="5"/>
      <c r="E5" s="5"/>
      <c r="F5" s="5"/>
    </row>
    <row r="6" spans="2:24" x14ac:dyDescent="0.25">
      <c r="B6" s="1" t="s">
        <v>4</v>
      </c>
      <c r="C6" s="1" t="s">
        <v>124</v>
      </c>
      <c r="D6" s="5"/>
      <c r="E6" s="5"/>
      <c r="F6" s="5"/>
      <c r="G6" s="3">
        <v>8204031</v>
      </c>
      <c r="H6" s="3">
        <v>8165803</v>
      </c>
      <c r="I6" s="3">
        <v>8183265</v>
      </c>
      <c r="J6" s="3">
        <v>8167309</v>
      </c>
      <c r="K6" s="3">
        <v>8374673</v>
      </c>
      <c r="L6" s="3">
        <v>8326849</v>
      </c>
      <c r="M6" s="3">
        <v>8351158</v>
      </c>
      <c r="N6" s="3">
        <v>8392047</v>
      </c>
      <c r="O6" s="3">
        <v>8737868</v>
      </c>
      <c r="P6" s="3">
        <v>8741061</v>
      </c>
      <c r="Q6" s="3">
        <v>9046839</v>
      </c>
      <c r="R6" s="3">
        <v>9312844</v>
      </c>
      <c r="S6" s="3">
        <v>9796900</v>
      </c>
      <c r="T6" s="3">
        <v>9936304</v>
      </c>
      <c r="U6" s="3">
        <v>10008769</v>
      </c>
      <c r="V6" s="3">
        <v>10110814</v>
      </c>
      <c r="W6" s="3">
        <v>11011502</v>
      </c>
      <c r="X6" s="3">
        <v>11133017</v>
      </c>
    </row>
    <row r="7" spans="2:24" x14ac:dyDescent="0.25">
      <c r="D7" s="5"/>
      <c r="E7" s="5"/>
      <c r="F7" s="5"/>
    </row>
    <row r="8" spans="2:24" x14ac:dyDescent="0.25">
      <c r="B8" s="6" t="s">
        <v>3</v>
      </c>
      <c r="C8" s="1" t="s">
        <v>124</v>
      </c>
      <c r="D8" s="5"/>
      <c r="E8" s="5"/>
      <c r="F8" s="5"/>
      <c r="G8" s="7">
        <v>2620659</v>
      </c>
      <c r="H8" s="7">
        <v>531958</v>
      </c>
      <c r="I8" s="7">
        <v>715625</v>
      </c>
      <c r="J8" s="7">
        <v>911704</v>
      </c>
      <c r="K8" s="7">
        <v>902543</v>
      </c>
      <c r="L8" s="7">
        <v>897662</v>
      </c>
      <c r="M8" s="7">
        <v>994368</v>
      </c>
      <c r="N8" s="7">
        <v>1059023</v>
      </c>
      <c r="O8" s="7">
        <v>899627</v>
      </c>
      <c r="P8" s="7">
        <v>912957</v>
      </c>
      <c r="Q8" s="7">
        <v>944201</v>
      </c>
      <c r="R8" s="7">
        <v>963437</v>
      </c>
      <c r="S8" s="7">
        <v>1218361</v>
      </c>
      <c r="T8" s="7">
        <v>866739</v>
      </c>
      <c r="U8" s="7">
        <v>1404973</v>
      </c>
      <c r="V8" s="7">
        <v>1609574</v>
      </c>
      <c r="W8" s="7">
        <v>1095495</v>
      </c>
      <c r="X8" s="7">
        <v>843422</v>
      </c>
    </row>
    <row r="9" spans="2:24" x14ac:dyDescent="0.25">
      <c r="B9" s="8" t="s">
        <v>11</v>
      </c>
      <c r="C9" s="1" t="s">
        <v>124</v>
      </c>
      <c r="D9" s="5"/>
      <c r="E9" s="5"/>
      <c r="F9" s="5"/>
      <c r="G9" s="7">
        <f t="shared" ref="G9:H9" si="0">+G10-G8</f>
        <v>1161227</v>
      </c>
      <c r="H9" s="7">
        <f t="shared" si="0"/>
        <v>3270446</v>
      </c>
      <c r="I9" s="7">
        <f t="shared" ref="I9:X9" si="1">+I10-I8</f>
        <v>3277219</v>
      </c>
      <c r="J9" s="7">
        <f t="shared" si="1"/>
        <v>3047609</v>
      </c>
      <c r="K9" s="7">
        <f t="shared" si="1"/>
        <v>2952472</v>
      </c>
      <c r="L9" s="7">
        <f t="shared" si="1"/>
        <v>3115219</v>
      </c>
      <c r="M9" s="7">
        <f t="shared" si="1"/>
        <v>2959760</v>
      </c>
      <c r="N9" s="7">
        <f t="shared" si="1"/>
        <v>3037518</v>
      </c>
      <c r="O9" s="7">
        <f t="shared" si="1"/>
        <v>3199210</v>
      </c>
      <c r="P9" s="7">
        <f t="shared" si="1"/>
        <v>3155733</v>
      </c>
      <c r="Q9" s="7">
        <f t="shared" si="1"/>
        <v>3106273</v>
      </c>
      <c r="R9" s="7">
        <f t="shared" si="1"/>
        <v>3046715</v>
      </c>
      <c r="S9" s="7">
        <f t="shared" si="1"/>
        <v>2684633</v>
      </c>
      <c r="T9" s="7">
        <f t="shared" si="1"/>
        <v>2849369</v>
      </c>
      <c r="U9" s="7">
        <f t="shared" si="1"/>
        <v>2438269</v>
      </c>
      <c r="V9" s="7">
        <f t="shared" si="1"/>
        <v>2111362</v>
      </c>
      <c r="W9" s="7">
        <f t="shared" si="1"/>
        <v>2603465</v>
      </c>
      <c r="X9" s="7">
        <f t="shared" si="1"/>
        <v>2741415</v>
      </c>
    </row>
    <row r="10" spans="2:24" x14ac:dyDescent="0.25">
      <c r="B10" s="1" t="s">
        <v>5</v>
      </c>
      <c r="C10" s="1" t="s">
        <v>124</v>
      </c>
      <c r="D10" s="5"/>
      <c r="E10" s="5"/>
      <c r="F10" s="5"/>
      <c r="G10" s="3">
        <v>3781886</v>
      </c>
      <c r="H10" s="3">
        <v>3802404</v>
      </c>
      <c r="I10" s="3">
        <v>3992844</v>
      </c>
      <c r="J10" s="3">
        <v>3959313</v>
      </c>
      <c r="K10" s="3">
        <v>3855015</v>
      </c>
      <c r="L10" s="3">
        <v>4012881</v>
      </c>
      <c r="M10" s="3">
        <v>3954128</v>
      </c>
      <c r="N10" s="3">
        <v>4096541</v>
      </c>
      <c r="O10" s="3">
        <v>4098837</v>
      </c>
      <c r="P10" s="3">
        <v>4068690</v>
      </c>
      <c r="Q10" s="3">
        <v>4050474</v>
      </c>
      <c r="R10" s="3">
        <v>4010152</v>
      </c>
      <c r="S10" s="3">
        <v>3902994</v>
      </c>
      <c r="T10" s="3">
        <v>3716108</v>
      </c>
      <c r="U10" s="3">
        <v>3843242</v>
      </c>
      <c r="V10" s="3">
        <v>3720936</v>
      </c>
      <c r="W10" s="3">
        <v>3698960</v>
      </c>
      <c r="X10" s="3">
        <v>3584837</v>
      </c>
    </row>
    <row r="11" spans="2:24" x14ac:dyDescent="0.25">
      <c r="D11" s="5"/>
      <c r="E11" s="5"/>
      <c r="F11" s="5"/>
    </row>
    <row r="12" spans="2:24" x14ac:dyDescent="0.25">
      <c r="B12" s="1" t="s">
        <v>12</v>
      </c>
      <c r="C12" s="1" t="s">
        <v>124</v>
      </c>
      <c r="D12" s="5"/>
      <c r="E12" s="5"/>
      <c r="F12" s="5"/>
      <c r="G12" s="3">
        <f t="shared" ref="G12:H12" si="2">+G14-G6-G10</f>
        <v>0</v>
      </c>
      <c r="H12" s="3">
        <f t="shared" si="2"/>
        <v>0</v>
      </c>
      <c r="I12" s="3">
        <f t="shared" ref="I12:X12" si="3">+I14-I6-I10</f>
        <v>0</v>
      </c>
      <c r="J12" s="3">
        <f t="shared" si="3"/>
        <v>0</v>
      </c>
      <c r="K12" s="3">
        <f t="shared" si="3"/>
        <v>0</v>
      </c>
      <c r="L12" s="3">
        <f t="shared" si="3"/>
        <v>0</v>
      </c>
      <c r="M12" s="3">
        <f t="shared" si="3"/>
        <v>0</v>
      </c>
      <c r="N12" s="3">
        <f t="shared" si="3"/>
        <v>0</v>
      </c>
      <c r="O12" s="3">
        <f t="shared" si="3"/>
        <v>0</v>
      </c>
      <c r="P12" s="3">
        <f t="shared" si="3"/>
        <v>0</v>
      </c>
      <c r="Q12" s="3">
        <f t="shared" si="3"/>
        <v>0</v>
      </c>
      <c r="R12" s="3">
        <f t="shared" si="3"/>
        <v>0</v>
      </c>
      <c r="S12" s="3">
        <f t="shared" si="3"/>
        <v>0</v>
      </c>
      <c r="T12" s="3">
        <f t="shared" si="3"/>
        <v>0</v>
      </c>
      <c r="U12" s="3">
        <f t="shared" si="3"/>
        <v>0</v>
      </c>
      <c r="V12" s="3">
        <f t="shared" si="3"/>
        <v>0</v>
      </c>
      <c r="W12" s="3">
        <f t="shared" si="3"/>
        <v>0</v>
      </c>
      <c r="X12" s="3">
        <f t="shared" si="3"/>
        <v>0</v>
      </c>
    </row>
    <row r="13" spans="2:24" x14ac:dyDescent="0.25">
      <c r="D13" s="5"/>
      <c r="E13" s="5"/>
      <c r="F13" s="5"/>
    </row>
    <row r="14" spans="2:24" x14ac:dyDescent="0.25">
      <c r="B14" s="9" t="s">
        <v>6</v>
      </c>
      <c r="C14" s="1" t="s">
        <v>124</v>
      </c>
      <c r="D14" s="5"/>
      <c r="E14" s="5"/>
      <c r="F14" s="5"/>
      <c r="G14" s="10">
        <v>11985917</v>
      </c>
      <c r="H14" s="10">
        <v>11968207</v>
      </c>
      <c r="I14" s="10">
        <v>12176109</v>
      </c>
      <c r="J14" s="10">
        <v>12126622</v>
      </c>
      <c r="K14" s="10">
        <v>12229688</v>
      </c>
      <c r="L14" s="10">
        <v>12339730</v>
      </c>
      <c r="M14" s="10">
        <v>12305286</v>
      </c>
      <c r="N14" s="10">
        <v>12488588</v>
      </c>
      <c r="O14" s="10">
        <v>12836705</v>
      </c>
      <c r="P14" s="10">
        <v>12809751</v>
      </c>
      <c r="Q14" s="10">
        <v>13097313</v>
      </c>
      <c r="R14" s="10">
        <v>13322996</v>
      </c>
      <c r="S14" s="10">
        <v>13699894</v>
      </c>
      <c r="T14" s="10">
        <v>13652412</v>
      </c>
      <c r="U14" s="10">
        <v>13852011</v>
      </c>
      <c r="V14" s="10">
        <v>13831750</v>
      </c>
      <c r="W14" s="10">
        <v>14710462</v>
      </c>
      <c r="X14" s="10">
        <v>14717854</v>
      </c>
    </row>
    <row r="15" spans="2:24" x14ac:dyDescent="0.25">
      <c r="D15" s="5"/>
      <c r="E15" s="5"/>
      <c r="F15" s="5"/>
    </row>
    <row r="16" spans="2:24" x14ac:dyDescent="0.25">
      <c r="B16" s="6" t="s">
        <v>8</v>
      </c>
      <c r="C16" s="1" t="s">
        <v>124</v>
      </c>
      <c r="D16" s="5"/>
      <c r="E16" s="5"/>
      <c r="F16" s="5"/>
      <c r="G16" s="7">
        <v>1518009</v>
      </c>
      <c r="H16" s="7">
        <v>1541453</v>
      </c>
      <c r="I16" s="7">
        <v>1487077</v>
      </c>
      <c r="J16" s="7">
        <v>1465340</v>
      </c>
      <c r="K16" s="7">
        <v>1450377</v>
      </c>
      <c r="L16" s="7">
        <v>1446389</v>
      </c>
      <c r="M16" s="7">
        <v>1444937</v>
      </c>
      <c r="N16" s="7">
        <v>1443268</v>
      </c>
      <c r="O16" s="7">
        <v>1373976</v>
      </c>
      <c r="P16" s="7">
        <v>1405960</v>
      </c>
      <c r="Q16" s="7">
        <v>1423626</v>
      </c>
      <c r="R16" s="7">
        <v>1439179</v>
      </c>
      <c r="S16" s="7">
        <v>1447783</v>
      </c>
      <c r="T16" s="7">
        <v>1459918</v>
      </c>
      <c r="U16" s="7">
        <v>1480356</v>
      </c>
      <c r="V16" s="7">
        <v>1472842</v>
      </c>
      <c r="W16" s="7">
        <v>1748504</v>
      </c>
      <c r="X16" s="7">
        <v>1752850</v>
      </c>
    </row>
    <row r="17" spans="2:24" x14ac:dyDescent="0.25">
      <c r="B17" s="6" t="s">
        <v>9</v>
      </c>
      <c r="C17" s="1" t="s">
        <v>124</v>
      </c>
      <c r="D17" s="5"/>
      <c r="E17" s="5"/>
      <c r="F17" s="5"/>
      <c r="G17" s="7">
        <v>1443655</v>
      </c>
      <c r="H17" s="7">
        <v>1204820</v>
      </c>
      <c r="I17" s="7">
        <v>1458267</v>
      </c>
      <c r="J17" s="7">
        <v>1353718</v>
      </c>
      <c r="K17" s="7">
        <v>1406683</v>
      </c>
      <c r="L17" s="7">
        <v>1299450</v>
      </c>
      <c r="M17" s="7">
        <v>1288470</v>
      </c>
      <c r="N17" s="7">
        <v>1271984</v>
      </c>
      <c r="O17" s="7">
        <v>1586258</v>
      </c>
      <c r="P17" s="7">
        <v>1273965</v>
      </c>
      <c r="Q17" s="7">
        <v>1575047</v>
      </c>
      <c r="R17" s="7">
        <v>1478556</v>
      </c>
      <c r="S17" s="7">
        <v>1772349</v>
      </c>
      <c r="T17" s="7">
        <v>1454655</v>
      </c>
      <c r="U17" s="7">
        <v>1641284</v>
      </c>
      <c r="V17" s="7">
        <v>1440276</v>
      </c>
      <c r="W17" s="7">
        <v>2023670</v>
      </c>
      <c r="X17" s="7">
        <v>1724622</v>
      </c>
    </row>
    <row r="18" spans="2:24" x14ac:dyDescent="0.25">
      <c r="B18" s="1" t="s">
        <v>13</v>
      </c>
      <c r="C18" s="1" t="s">
        <v>124</v>
      </c>
      <c r="D18" s="5"/>
      <c r="E18" s="5"/>
      <c r="F18" s="5"/>
      <c r="G18" s="3">
        <f t="shared" ref="G18:H18" si="4">+G17+G16</f>
        <v>2961664</v>
      </c>
      <c r="H18" s="3">
        <f t="shared" si="4"/>
        <v>2746273</v>
      </c>
      <c r="I18" s="3">
        <f t="shared" ref="I18:X18" si="5">+I17+I16</f>
        <v>2945344</v>
      </c>
      <c r="J18" s="3">
        <f t="shared" si="5"/>
        <v>2819058</v>
      </c>
      <c r="K18" s="3">
        <f t="shared" si="5"/>
        <v>2857060</v>
      </c>
      <c r="L18" s="3">
        <f t="shared" si="5"/>
        <v>2745839</v>
      </c>
      <c r="M18" s="3">
        <f t="shared" si="5"/>
        <v>2733407</v>
      </c>
      <c r="N18" s="3">
        <f t="shared" si="5"/>
        <v>2715252</v>
      </c>
      <c r="O18" s="3">
        <f t="shared" si="5"/>
        <v>2960234</v>
      </c>
      <c r="P18" s="3">
        <f t="shared" si="5"/>
        <v>2679925</v>
      </c>
      <c r="Q18" s="3">
        <f t="shared" si="5"/>
        <v>2998673</v>
      </c>
      <c r="R18" s="3">
        <f t="shared" si="5"/>
        <v>2917735</v>
      </c>
      <c r="S18" s="3">
        <f t="shared" si="5"/>
        <v>3220132</v>
      </c>
      <c r="T18" s="3">
        <f t="shared" si="5"/>
        <v>2914573</v>
      </c>
      <c r="U18" s="3">
        <f t="shared" si="5"/>
        <v>3121640</v>
      </c>
      <c r="V18" s="3">
        <f t="shared" si="5"/>
        <v>2913118</v>
      </c>
      <c r="W18" s="3">
        <f t="shared" si="5"/>
        <v>3772174</v>
      </c>
      <c r="X18" s="3">
        <f t="shared" si="5"/>
        <v>3477472</v>
      </c>
    </row>
    <row r="19" spans="2:24" x14ac:dyDescent="0.25">
      <c r="D19" s="5"/>
      <c r="E19" s="5"/>
      <c r="F19" s="5"/>
    </row>
    <row r="20" spans="2:24" x14ac:dyDescent="0.25">
      <c r="B20" s="6" t="s">
        <v>7</v>
      </c>
      <c r="C20" s="1" t="s">
        <v>124</v>
      </c>
      <c r="D20" s="5"/>
      <c r="E20" s="5"/>
      <c r="F20" s="5"/>
      <c r="G20" s="7">
        <v>588018</v>
      </c>
      <c r="H20" s="7">
        <v>588018</v>
      </c>
      <c r="I20" s="7">
        <v>588018</v>
      </c>
      <c r="J20" s="7">
        <v>588018</v>
      </c>
      <c r="K20" s="7">
        <v>588018</v>
      </c>
      <c r="L20" s="7">
        <v>588018</v>
      </c>
      <c r="M20" s="7">
        <v>588018</v>
      </c>
      <c r="N20" s="7">
        <v>588018</v>
      </c>
      <c r="O20" s="7">
        <v>588018</v>
      </c>
      <c r="P20" s="7">
        <v>588018</v>
      </c>
      <c r="Q20" s="7">
        <v>588018</v>
      </c>
      <c r="R20" s="7">
        <v>588018</v>
      </c>
      <c r="S20" s="7">
        <v>588018</v>
      </c>
      <c r="T20" s="7">
        <v>588018</v>
      </c>
      <c r="U20" s="7">
        <v>588018</v>
      </c>
      <c r="V20" s="7">
        <v>588018</v>
      </c>
      <c r="W20" s="7">
        <v>588018</v>
      </c>
      <c r="X20" s="7">
        <v>588018</v>
      </c>
    </row>
    <row r="21" spans="2:24" x14ac:dyDescent="0.25">
      <c r="B21" s="8" t="s">
        <v>14</v>
      </c>
      <c r="C21" s="1" t="s">
        <v>124</v>
      </c>
      <c r="D21" s="5"/>
      <c r="E21" s="5"/>
      <c r="F21" s="5"/>
      <c r="G21" s="7">
        <f t="shared" ref="G21:H21" si="6">+G22-G20</f>
        <v>8436235</v>
      </c>
      <c r="H21" s="7">
        <f t="shared" si="6"/>
        <v>8633916</v>
      </c>
      <c r="I21" s="7">
        <f t="shared" ref="I21:X21" si="7">+I22-I20</f>
        <v>8642747</v>
      </c>
      <c r="J21" s="7">
        <f t="shared" si="7"/>
        <v>8719546</v>
      </c>
      <c r="K21" s="7">
        <f t="shared" si="7"/>
        <v>8784610</v>
      </c>
      <c r="L21" s="7">
        <f t="shared" si="7"/>
        <v>9005873</v>
      </c>
      <c r="M21" s="7">
        <f t="shared" si="7"/>
        <v>8983861</v>
      </c>
      <c r="N21" s="7">
        <f t="shared" si="7"/>
        <v>9185318</v>
      </c>
      <c r="O21" s="7">
        <f t="shared" si="7"/>
        <v>9288453</v>
      </c>
      <c r="P21" s="7">
        <f t="shared" si="7"/>
        <v>9541808</v>
      </c>
      <c r="Q21" s="7">
        <f t="shared" si="7"/>
        <v>9510622</v>
      </c>
      <c r="R21" s="7">
        <f t="shared" si="7"/>
        <v>9817243</v>
      </c>
      <c r="S21" s="7">
        <f t="shared" si="7"/>
        <v>9891744</v>
      </c>
      <c r="T21" s="7">
        <f t="shared" si="7"/>
        <v>10149821</v>
      </c>
      <c r="U21" s="7">
        <f t="shared" si="7"/>
        <v>10142353</v>
      </c>
      <c r="V21" s="7">
        <f t="shared" si="7"/>
        <v>10330614</v>
      </c>
      <c r="W21" s="7">
        <f t="shared" si="7"/>
        <v>10350270</v>
      </c>
      <c r="X21" s="7">
        <f t="shared" si="7"/>
        <v>10652364</v>
      </c>
    </row>
    <row r="22" spans="2:24" x14ac:dyDescent="0.25">
      <c r="B22" s="1" t="s">
        <v>41</v>
      </c>
      <c r="C22" s="1" t="s">
        <v>124</v>
      </c>
      <c r="D22" s="5"/>
      <c r="E22" s="5"/>
      <c r="F22" s="5"/>
      <c r="G22" s="3">
        <f>8993175+31078</f>
        <v>9024253</v>
      </c>
      <c r="H22" s="3">
        <f>9190067+31867</f>
        <v>9221934</v>
      </c>
      <c r="I22" s="3">
        <f>9199272+31493</f>
        <v>9230765</v>
      </c>
      <c r="J22" s="3">
        <f>9276582+30982</f>
        <v>9307564</v>
      </c>
      <c r="K22" s="3">
        <f>9348850+23778</f>
        <v>9372628</v>
      </c>
      <c r="L22" s="3">
        <f>9568873+25018</f>
        <v>9593891</v>
      </c>
      <c r="M22" s="3">
        <f>+M23+24474</f>
        <v>9571879</v>
      </c>
      <c r="N22" s="3">
        <f>+N23+23399</f>
        <v>9773336</v>
      </c>
      <c r="O22" s="3">
        <f>+O23+23897</f>
        <v>9876471</v>
      </c>
      <c r="P22" s="3">
        <f>+P23+24820</f>
        <v>10129826</v>
      </c>
      <c r="Q22" s="3">
        <f>+Q23+24032</f>
        <v>10098640</v>
      </c>
      <c r="R22" s="3">
        <f>+R23+27953</f>
        <v>10405261</v>
      </c>
      <c r="S22" s="3">
        <f>+S23+29088</f>
        <v>10479762</v>
      </c>
      <c r="T22" s="3">
        <f>+T23+29398</f>
        <v>10737839</v>
      </c>
      <c r="U22" s="3">
        <f>+U23+27514</f>
        <v>10730371</v>
      </c>
      <c r="V22" s="3">
        <f>+V23+26549</f>
        <v>10918632</v>
      </c>
      <c r="W22" s="3">
        <f>+W23+22721</f>
        <v>10938288</v>
      </c>
      <c r="X22" s="3">
        <f>+X23+23565</f>
        <v>11240382</v>
      </c>
    </row>
    <row r="23" spans="2:24" ht="30" x14ac:dyDescent="0.25">
      <c r="B23" s="18" t="s">
        <v>163</v>
      </c>
      <c r="C23" s="8" t="s">
        <v>124</v>
      </c>
      <c r="D23" s="5"/>
      <c r="E23" s="5"/>
      <c r="F23" s="5"/>
      <c r="G23" s="7">
        <v>8993175</v>
      </c>
      <c r="H23" s="7">
        <v>9190067</v>
      </c>
      <c r="I23" s="7">
        <f>9199272</f>
        <v>9199272</v>
      </c>
      <c r="J23" s="7">
        <v>9276582</v>
      </c>
      <c r="K23" s="7">
        <v>9348850</v>
      </c>
      <c r="L23" s="7">
        <v>9568873</v>
      </c>
      <c r="M23" s="7">
        <v>9547405</v>
      </c>
      <c r="N23" s="7">
        <v>9749937</v>
      </c>
      <c r="O23" s="7">
        <v>9852574</v>
      </c>
      <c r="P23" s="7">
        <v>10105006</v>
      </c>
      <c r="Q23" s="7">
        <v>10074608</v>
      </c>
      <c r="R23" s="7">
        <v>10377308</v>
      </c>
      <c r="S23" s="7">
        <v>10450674</v>
      </c>
      <c r="T23" s="7">
        <v>10708441</v>
      </c>
      <c r="U23" s="7">
        <v>10702857</v>
      </c>
      <c r="V23" s="7">
        <v>10892083</v>
      </c>
      <c r="W23" s="7">
        <v>10915567</v>
      </c>
      <c r="X23" s="7">
        <v>11216817</v>
      </c>
    </row>
    <row r="24" spans="2:24" x14ac:dyDescent="0.25">
      <c r="D24" s="5"/>
      <c r="E24" s="5"/>
      <c r="F24" s="5"/>
    </row>
    <row r="25" spans="2:24" x14ac:dyDescent="0.25">
      <c r="B25" s="1" t="s">
        <v>15</v>
      </c>
      <c r="C25" s="1" t="s">
        <v>124</v>
      </c>
      <c r="D25" s="5"/>
      <c r="E25" s="5"/>
      <c r="F25" s="5"/>
      <c r="G25" s="3">
        <f t="shared" ref="G25:H25" si="8">+G14-G18-G22</f>
        <v>0</v>
      </c>
      <c r="H25" s="3">
        <f t="shared" si="8"/>
        <v>0</v>
      </c>
      <c r="I25" s="3">
        <f t="shared" ref="I25:X25" si="9">+I14-I18-I22</f>
        <v>0</v>
      </c>
      <c r="J25" s="3">
        <f t="shared" si="9"/>
        <v>0</v>
      </c>
      <c r="K25" s="3">
        <f t="shared" si="9"/>
        <v>0</v>
      </c>
      <c r="L25" s="3">
        <f t="shared" si="9"/>
        <v>0</v>
      </c>
      <c r="M25" s="3">
        <f t="shared" si="9"/>
        <v>0</v>
      </c>
      <c r="N25" s="3">
        <f t="shared" si="9"/>
        <v>0</v>
      </c>
      <c r="O25" s="3">
        <f t="shared" si="9"/>
        <v>0</v>
      </c>
      <c r="P25" s="3">
        <f t="shared" si="9"/>
        <v>0</v>
      </c>
      <c r="Q25" s="3">
        <f t="shared" si="9"/>
        <v>0</v>
      </c>
      <c r="R25" s="3">
        <f t="shared" si="9"/>
        <v>0</v>
      </c>
      <c r="S25" s="3">
        <f t="shared" si="9"/>
        <v>0</v>
      </c>
      <c r="T25" s="3">
        <f t="shared" si="9"/>
        <v>0</v>
      </c>
      <c r="U25" s="3">
        <f t="shared" si="9"/>
        <v>0</v>
      </c>
      <c r="V25" s="3">
        <f t="shared" si="9"/>
        <v>0</v>
      </c>
      <c r="W25" s="3">
        <f t="shared" si="9"/>
        <v>0</v>
      </c>
      <c r="X25" s="3">
        <f t="shared" si="9"/>
        <v>0</v>
      </c>
    </row>
    <row r="26" spans="2:24" x14ac:dyDescent="0.25">
      <c r="D26" s="5"/>
      <c r="E26" s="5"/>
      <c r="F26" s="5"/>
    </row>
    <row r="27" spans="2:24" x14ac:dyDescent="0.25">
      <c r="B27" s="9" t="s">
        <v>16</v>
      </c>
      <c r="C27" s="1" t="s">
        <v>124</v>
      </c>
      <c r="D27" s="5"/>
      <c r="E27" s="5"/>
      <c r="F27" s="5"/>
      <c r="G27" s="10">
        <f t="shared" ref="G27:H27" si="10">+G18+G22+G25</f>
        <v>11985917</v>
      </c>
      <c r="H27" s="10">
        <f t="shared" si="10"/>
        <v>11968207</v>
      </c>
      <c r="I27" s="10">
        <f t="shared" ref="I27:X27" si="11">+I18+I22+I25</f>
        <v>12176109</v>
      </c>
      <c r="J27" s="10">
        <f t="shared" si="11"/>
        <v>12126622</v>
      </c>
      <c r="K27" s="10">
        <f t="shared" si="11"/>
        <v>12229688</v>
      </c>
      <c r="L27" s="10">
        <f t="shared" si="11"/>
        <v>12339730</v>
      </c>
      <c r="M27" s="10">
        <f t="shared" si="11"/>
        <v>12305286</v>
      </c>
      <c r="N27" s="10">
        <f t="shared" si="11"/>
        <v>12488588</v>
      </c>
      <c r="O27" s="10">
        <f t="shared" si="11"/>
        <v>12836705</v>
      </c>
      <c r="P27" s="10">
        <f t="shared" si="11"/>
        <v>12809751</v>
      </c>
      <c r="Q27" s="10">
        <f t="shared" si="11"/>
        <v>13097313</v>
      </c>
      <c r="R27" s="10">
        <f t="shared" si="11"/>
        <v>13322996</v>
      </c>
      <c r="S27" s="10">
        <f t="shared" si="11"/>
        <v>13699894</v>
      </c>
      <c r="T27" s="10">
        <f t="shared" si="11"/>
        <v>13652412</v>
      </c>
      <c r="U27" s="10">
        <f t="shared" si="11"/>
        <v>13852011</v>
      </c>
      <c r="V27" s="10">
        <f t="shared" si="11"/>
        <v>13831750</v>
      </c>
      <c r="W27" s="10">
        <f t="shared" si="11"/>
        <v>14710462</v>
      </c>
      <c r="X27" s="10">
        <f t="shared" si="11"/>
        <v>14717854</v>
      </c>
    </row>
    <row r="28" spans="2:24" x14ac:dyDescent="0.25">
      <c r="D28" s="5"/>
      <c r="E28" s="5"/>
      <c r="F28" s="5"/>
    </row>
    <row r="29" spans="2:24" x14ac:dyDescent="0.25">
      <c r="B29" s="6" t="s">
        <v>42</v>
      </c>
      <c r="C29" s="6" t="s">
        <v>124</v>
      </c>
      <c r="D29" s="35"/>
      <c r="E29" s="35"/>
      <c r="F29" s="35"/>
      <c r="G29" s="51"/>
      <c r="H29" s="7">
        <f>+H22-G22</f>
        <v>197681</v>
      </c>
      <c r="I29" s="7">
        <f>+I22-H22</f>
        <v>8831</v>
      </c>
      <c r="J29" s="7">
        <f>+J22-I22</f>
        <v>76799</v>
      </c>
      <c r="K29" s="7">
        <f t="shared" ref="K29:X29" si="12">+K22-J22</f>
        <v>65064</v>
      </c>
      <c r="L29" s="7">
        <f t="shared" si="12"/>
        <v>221263</v>
      </c>
      <c r="M29" s="7">
        <f t="shared" si="12"/>
        <v>-22012</v>
      </c>
      <c r="N29" s="7">
        <f t="shared" si="12"/>
        <v>201457</v>
      </c>
      <c r="O29" s="7">
        <f t="shared" si="12"/>
        <v>103135</v>
      </c>
      <c r="P29" s="7">
        <f t="shared" si="12"/>
        <v>253355</v>
      </c>
      <c r="Q29" s="7">
        <f t="shared" si="12"/>
        <v>-31186</v>
      </c>
      <c r="R29" s="7">
        <f t="shared" si="12"/>
        <v>306621</v>
      </c>
      <c r="S29" s="7">
        <f t="shared" si="12"/>
        <v>74501</v>
      </c>
      <c r="T29" s="7">
        <f t="shared" si="12"/>
        <v>258077</v>
      </c>
      <c r="U29" s="7">
        <f t="shared" si="12"/>
        <v>-7468</v>
      </c>
      <c r="V29" s="7">
        <f t="shared" si="12"/>
        <v>188261</v>
      </c>
      <c r="W29" s="7">
        <f t="shared" si="12"/>
        <v>19656</v>
      </c>
      <c r="X29" s="7">
        <f t="shared" si="12"/>
        <v>302094</v>
      </c>
    </row>
    <row r="30" spans="2:24" x14ac:dyDescent="0.25">
      <c r="B30" s="6" t="s">
        <v>43</v>
      </c>
      <c r="C30" s="6" t="s">
        <v>124</v>
      </c>
      <c r="D30" s="35"/>
      <c r="E30" s="35"/>
      <c r="F30" s="35"/>
      <c r="G30" s="51"/>
      <c r="H30" s="7">
        <f>+H43</f>
        <v>202101</v>
      </c>
      <c r="I30" s="7">
        <f t="shared" ref="I30:X30" si="13">+I43</f>
        <v>189805</v>
      </c>
      <c r="J30" s="7">
        <f t="shared" si="13"/>
        <v>54376</v>
      </c>
      <c r="K30" s="7">
        <f t="shared" si="13"/>
        <v>67328</v>
      </c>
      <c r="L30" s="7">
        <f t="shared" si="13"/>
        <v>219390</v>
      </c>
      <c r="M30" s="7">
        <f t="shared" si="13"/>
        <v>145302</v>
      </c>
      <c r="N30" s="7">
        <f t="shared" si="13"/>
        <v>182317</v>
      </c>
      <c r="O30" s="7">
        <f t="shared" si="13"/>
        <v>92372</v>
      </c>
      <c r="P30" s="7">
        <f t="shared" si="13"/>
        <v>247362</v>
      </c>
      <c r="Q30" s="7">
        <f t="shared" si="13"/>
        <v>166751</v>
      </c>
      <c r="R30" s="7">
        <f t="shared" si="13"/>
        <v>306642</v>
      </c>
      <c r="S30" s="7">
        <f t="shared" si="13"/>
        <v>71766</v>
      </c>
      <c r="T30" s="7">
        <f t="shared" si="13"/>
        <v>249426</v>
      </c>
      <c r="U30" s="7">
        <f t="shared" si="13"/>
        <v>206942</v>
      </c>
      <c r="V30" s="7">
        <f t="shared" si="13"/>
        <v>188853</v>
      </c>
      <c r="W30" s="7">
        <f t="shared" si="13"/>
        <v>72388</v>
      </c>
      <c r="X30" s="7">
        <f t="shared" si="13"/>
        <v>308639</v>
      </c>
    </row>
    <row r="31" spans="2:24" x14ac:dyDescent="0.25">
      <c r="B31" s="52" t="s">
        <v>44</v>
      </c>
      <c r="C31" s="52" t="s">
        <v>124</v>
      </c>
      <c r="D31" s="50"/>
      <c r="E31" s="50"/>
      <c r="F31" s="50"/>
      <c r="G31" s="53"/>
      <c r="H31" s="54">
        <v>0</v>
      </c>
      <c r="I31" s="54">
        <f>-J50*J48*1000</f>
        <v>-203062.39999999999</v>
      </c>
      <c r="J31" s="54">
        <v>0</v>
      </c>
      <c r="K31" s="54">
        <v>0</v>
      </c>
      <c r="L31" s="54">
        <v>0</v>
      </c>
      <c r="M31" s="54">
        <f>-N50*N48*1000</f>
        <v>-167747.19999999998</v>
      </c>
      <c r="N31" s="54">
        <v>0</v>
      </c>
      <c r="O31" s="54">
        <v>0</v>
      </c>
      <c r="P31" s="54">
        <v>0</v>
      </c>
      <c r="Q31" s="54">
        <f>-R50*R48*1000</f>
        <v>-194233.60000000001</v>
      </c>
      <c r="R31" s="54">
        <v>0</v>
      </c>
      <c r="S31" s="54">
        <v>0</v>
      </c>
      <c r="T31" s="54">
        <v>0</v>
      </c>
      <c r="U31" s="54">
        <f>-V50*V48*1000</f>
        <v>-211891.20000000001</v>
      </c>
      <c r="V31" s="54">
        <v>0</v>
      </c>
      <c r="W31" s="54">
        <v>0</v>
      </c>
      <c r="X31" s="54">
        <v>0</v>
      </c>
    </row>
    <row r="32" spans="2:24" x14ac:dyDescent="0.25">
      <c r="B32" s="52" t="s">
        <v>164</v>
      </c>
      <c r="C32" s="52" t="s">
        <v>124</v>
      </c>
      <c r="D32" s="50"/>
      <c r="E32" s="50"/>
      <c r="F32" s="50"/>
      <c r="G32" s="53"/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f>(+P48-O48)*5.47*1000</f>
        <v>0</v>
      </c>
      <c r="Q32" s="54">
        <v>0</v>
      </c>
      <c r="R32" s="54">
        <f>(+R48-Q48)*5.47*1000</f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</row>
    <row r="33" spans="2:27" x14ac:dyDescent="0.25">
      <c r="B33" s="52" t="s">
        <v>45</v>
      </c>
      <c r="C33" s="52" t="s">
        <v>124</v>
      </c>
      <c r="D33" s="50"/>
      <c r="E33" s="50"/>
      <c r="F33" s="50"/>
      <c r="G33" s="53"/>
      <c r="H33" s="54">
        <f>+H29-H30-H31-H32</f>
        <v>-4420</v>
      </c>
      <c r="I33" s="54">
        <f t="shared" ref="I33:X33" si="14">+I29-I30-I31-I32</f>
        <v>22088.399999999994</v>
      </c>
      <c r="J33" s="54">
        <f t="shared" si="14"/>
        <v>22423</v>
      </c>
      <c r="K33" s="54">
        <f t="shared" si="14"/>
        <v>-2264</v>
      </c>
      <c r="L33" s="54">
        <f t="shared" si="14"/>
        <v>1873</v>
      </c>
      <c r="M33" s="54">
        <f t="shared" si="14"/>
        <v>433.19999999998254</v>
      </c>
      <c r="N33" s="54">
        <f t="shared" si="14"/>
        <v>19140</v>
      </c>
      <c r="O33" s="54">
        <f t="shared" si="14"/>
        <v>10763</v>
      </c>
      <c r="P33" s="54">
        <f t="shared" si="14"/>
        <v>5993</v>
      </c>
      <c r="Q33" s="54">
        <f t="shared" si="14"/>
        <v>-3703.3999999999942</v>
      </c>
      <c r="R33" s="54">
        <f t="shared" si="14"/>
        <v>-21</v>
      </c>
      <c r="S33" s="54">
        <f t="shared" si="14"/>
        <v>2735</v>
      </c>
      <c r="T33" s="54">
        <f t="shared" si="14"/>
        <v>8651</v>
      </c>
      <c r="U33" s="54">
        <f t="shared" si="14"/>
        <v>-2518.7999999999884</v>
      </c>
      <c r="V33" s="54">
        <f t="shared" si="14"/>
        <v>-592</v>
      </c>
      <c r="W33" s="54">
        <f t="shared" si="14"/>
        <v>-52732</v>
      </c>
      <c r="X33" s="54">
        <f t="shared" si="14"/>
        <v>-6545</v>
      </c>
    </row>
    <row r="34" spans="2:27" x14ac:dyDescent="0.25">
      <c r="C34" s="5"/>
      <c r="D34" s="5"/>
      <c r="E34" s="5"/>
      <c r="F34" s="5"/>
    </row>
    <row r="35" spans="2:27" ht="30" x14ac:dyDescent="0.25">
      <c r="B35" s="12" t="s">
        <v>24</v>
      </c>
      <c r="C35" s="32"/>
      <c r="D35" s="32"/>
      <c r="E35" s="32"/>
      <c r="F35" s="32"/>
      <c r="K35" s="21"/>
      <c r="M35" s="21"/>
      <c r="O35" s="21"/>
      <c r="P35" s="21"/>
      <c r="S35" s="21"/>
      <c r="T35" s="21"/>
      <c r="W35" s="21"/>
      <c r="Z35" s="37">
        <v>2008</v>
      </c>
      <c r="AA35" s="40" t="s">
        <v>135</v>
      </c>
    </row>
    <row r="36" spans="2:27" x14ac:dyDescent="0.25">
      <c r="D36" s="5"/>
      <c r="E36" s="5"/>
      <c r="F36" s="5"/>
    </row>
    <row r="37" spans="2:27" x14ac:dyDescent="0.25">
      <c r="B37" s="1" t="s">
        <v>2</v>
      </c>
      <c r="C37" s="1" t="s">
        <v>124</v>
      </c>
      <c r="D37" s="38">
        <f>+K128*Z37</f>
        <v>1614777.8917189427</v>
      </c>
      <c r="E37" s="38">
        <f>+K129*Z37</f>
        <v>1495800.8765278636</v>
      </c>
      <c r="F37" s="38">
        <f>+K130*Z37</f>
        <v>1509675.6083334659</v>
      </c>
      <c r="G37" s="38">
        <f>+K131*Z37</f>
        <v>1537507.6234197274</v>
      </c>
      <c r="H37" s="3">
        <v>1884687</v>
      </c>
      <c r="I37" s="3">
        <f>3591926-H37</f>
        <v>1707239</v>
      </c>
      <c r="J37" s="3">
        <f>5239438-I37-H37</f>
        <v>1647512</v>
      </c>
      <c r="K37" s="3">
        <f>7153509-J37-I37-H37</f>
        <v>1914071</v>
      </c>
      <c r="L37" s="3">
        <v>2021380</v>
      </c>
      <c r="M37" s="3">
        <f>3917827-L37</f>
        <v>1896447</v>
      </c>
      <c r="N37" s="3">
        <f>5827752-M37-L37</f>
        <v>1909925</v>
      </c>
      <c r="O37" s="3">
        <f>7836875-N37-M37-L37</f>
        <v>2009123</v>
      </c>
      <c r="P37" s="3">
        <v>2472230</v>
      </c>
      <c r="Q37" s="3">
        <f>4745676-P37</f>
        <v>2273446</v>
      </c>
      <c r="R37" s="3">
        <f>7167950-Q37-P37</f>
        <v>2422274</v>
      </c>
      <c r="S37" s="3">
        <f>9688949-R37-Q37-P37</f>
        <v>2520999</v>
      </c>
      <c r="T37" s="3">
        <v>2645780</v>
      </c>
      <c r="U37" s="3">
        <f>5127830-T37</f>
        <v>2482050</v>
      </c>
      <c r="V37" s="3">
        <f>7584839-U37-T37</f>
        <v>2457009</v>
      </c>
      <c r="W37" s="3">
        <f>10290519-V37-U37-T37</f>
        <v>2705680</v>
      </c>
      <c r="X37" s="3">
        <v>2435550</v>
      </c>
      <c r="Z37" s="3">
        <v>6157762</v>
      </c>
      <c r="AA37" s="3">
        <f t="shared" ref="AA37:AA44" si="15">SUM(D37:G37)</f>
        <v>6157761.9999999991</v>
      </c>
    </row>
    <row r="38" spans="2:27" ht="30" x14ac:dyDescent="0.25">
      <c r="B38" s="13" t="s">
        <v>18</v>
      </c>
      <c r="C38" s="13" t="s">
        <v>124</v>
      </c>
      <c r="D38" s="38">
        <f>+Z38*K138</f>
        <v>1500262.5316677319</v>
      </c>
      <c r="E38" s="38">
        <f>+Z38*K139</f>
        <v>1422574.3834191139</v>
      </c>
      <c r="F38" s="38">
        <f>+Z38*K140</f>
        <v>1432589.7745707436</v>
      </c>
      <c r="G38" s="38">
        <f>+Z38*K141</f>
        <v>1550976.310342411</v>
      </c>
      <c r="H38" s="3">
        <f>+H37-H39</f>
        <v>1661090</v>
      </c>
      <c r="I38" s="3">
        <f t="shared" ref="I38:X38" si="16">+I37-I39</f>
        <v>1506908</v>
      </c>
      <c r="J38" s="3">
        <f t="shared" si="16"/>
        <v>1632009</v>
      </c>
      <c r="K38" s="3">
        <f t="shared" si="16"/>
        <v>1847897</v>
      </c>
      <c r="L38" s="3">
        <f t="shared" si="16"/>
        <v>1794827</v>
      </c>
      <c r="M38" s="3">
        <f t="shared" ref="M38" si="17">+M37-M39</f>
        <v>1729487</v>
      </c>
      <c r="N38" s="3">
        <f t="shared" ref="N38" si="18">+N37-N39</f>
        <v>1692735</v>
      </c>
      <c r="O38" s="3">
        <f t="shared" ref="O38" si="19">+O37-O39</f>
        <v>1907862</v>
      </c>
      <c r="P38" s="3">
        <f t="shared" si="16"/>
        <v>2189435</v>
      </c>
      <c r="Q38" s="3">
        <f t="shared" ref="Q38" si="20">+Q37-Q39</f>
        <v>2118012</v>
      </c>
      <c r="R38" s="3">
        <f t="shared" ref="R38" si="21">+R37-R39</f>
        <v>2085580</v>
      </c>
      <c r="S38" s="3">
        <f t="shared" ref="S38" si="22">+S37-S39</f>
        <v>2451698</v>
      </c>
      <c r="T38" s="3">
        <f t="shared" si="16"/>
        <v>2360629</v>
      </c>
      <c r="U38" s="3">
        <f t="shared" ref="U38" si="23">+U37-U39</f>
        <v>2237000</v>
      </c>
      <c r="V38" s="3">
        <f t="shared" ref="V38" si="24">+V37-V39</f>
        <v>2234529</v>
      </c>
      <c r="W38" s="3">
        <f t="shared" ref="W38" si="25">+W37-W39</f>
        <v>2611814</v>
      </c>
      <c r="X38" s="3">
        <f t="shared" si="16"/>
        <v>2065760</v>
      </c>
      <c r="Z38" s="3">
        <f>+Z37-Z39</f>
        <v>5906403</v>
      </c>
      <c r="AA38" s="3">
        <f t="shared" si="15"/>
        <v>5906403</v>
      </c>
    </row>
    <row r="39" spans="2:27" x14ac:dyDescent="0.25">
      <c r="B39" s="13" t="s">
        <v>20</v>
      </c>
      <c r="C39" s="13" t="s">
        <v>124</v>
      </c>
      <c r="D39" s="38">
        <f t="shared" ref="D39:F39" si="26">+D37-D38</f>
        <v>114515.36005121074</v>
      </c>
      <c r="E39" s="38">
        <f t="shared" si="26"/>
        <v>73226.493108749622</v>
      </c>
      <c r="F39" s="38">
        <f t="shared" si="26"/>
        <v>77085.833762722323</v>
      </c>
      <c r="G39" s="38">
        <f>+G37-G38</f>
        <v>-13468.686922683613</v>
      </c>
      <c r="H39" s="3">
        <v>223597</v>
      </c>
      <c r="I39" s="3">
        <f>423928-H39</f>
        <v>200331</v>
      </c>
      <c r="J39" s="3">
        <f>439431-I39-H39</f>
        <v>15503</v>
      </c>
      <c r="K39" s="3">
        <f>505605-J39-I39-H39</f>
        <v>66174</v>
      </c>
      <c r="L39" s="3">
        <v>226553</v>
      </c>
      <c r="M39" s="3">
        <f>393513-L39</f>
        <v>166960</v>
      </c>
      <c r="N39" s="3">
        <f>610703-M39-L39</f>
        <v>217190</v>
      </c>
      <c r="O39" s="3">
        <f>711964-N39-M39-L39</f>
        <v>101261</v>
      </c>
      <c r="P39" s="3">
        <v>282795</v>
      </c>
      <c r="Q39" s="3">
        <f>438229-282795</f>
        <v>155434</v>
      </c>
      <c r="R39" s="3">
        <f>774923-Q39-P39</f>
        <v>336694</v>
      </c>
      <c r="S39" s="3">
        <f>844224-R39-Q39-P39</f>
        <v>69301</v>
      </c>
      <c r="T39" s="3">
        <v>285151</v>
      </c>
      <c r="U39" s="3">
        <f>530201-T39</f>
        <v>245050</v>
      </c>
      <c r="V39" s="3">
        <f>752681-U39-T39</f>
        <v>222480</v>
      </c>
      <c r="W39" s="3">
        <f>846547-V39-U39-T39</f>
        <v>93866</v>
      </c>
      <c r="X39" s="3">
        <v>369790</v>
      </c>
      <c r="Z39" s="3">
        <v>251359</v>
      </c>
      <c r="AA39" s="3">
        <f t="shared" si="15"/>
        <v>251358.99999999907</v>
      </c>
    </row>
    <row r="40" spans="2:27" ht="30" x14ac:dyDescent="0.25">
      <c r="B40" s="13" t="s">
        <v>17</v>
      </c>
      <c r="C40" s="13" t="s">
        <v>124</v>
      </c>
      <c r="D40" s="38">
        <f>+K148*Z40</f>
        <v>12040.252307123632</v>
      </c>
      <c r="E40" s="38">
        <f>+K149*Z40</f>
        <v>10157.14030260491</v>
      </c>
      <c r="F40" s="38">
        <f>+K150*Z40</f>
        <v>11411.819637339271</v>
      </c>
      <c r="G40" s="38">
        <f>+K151*Z40</f>
        <v>8497.7877529321868</v>
      </c>
      <c r="H40" s="3">
        <f>+H41-H39</f>
        <v>28450</v>
      </c>
      <c r="I40" s="3">
        <f t="shared" ref="I40:X40" si="27">+I41-I39</f>
        <v>39959</v>
      </c>
      <c r="J40" s="3">
        <f t="shared" si="27"/>
        <v>48861</v>
      </c>
      <c r="K40" s="3">
        <f t="shared" si="27"/>
        <v>30181</v>
      </c>
      <c r="L40" s="3">
        <f t="shared" si="27"/>
        <v>45431</v>
      </c>
      <c r="M40" s="3">
        <f t="shared" ref="M40" si="28">+M41-M39</f>
        <v>18639</v>
      </c>
      <c r="N40" s="3">
        <f t="shared" ref="N40" si="29">+N41-N39</f>
        <v>18605</v>
      </c>
      <c r="O40" s="3">
        <f t="shared" ref="O40" si="30">+O41-O39</f>
        <v>18577</v>
      </c>
      <c r="P40" s="3">
        <f t="shared" si="27"/>
        <v>29051</v>
      </c>
      <c r="Q40" s="3">
        <f t="shared" ref="Q40" si="31">+Q41-Q39</f>
        <v>55054</v>
      </c>
      <c r="R40" s="3">
        <f t="shared" ref="R40" si="32">+R41-R39</f>
        <v>34915</v>
      </c>
      <c r="S40" s="3">
        <f t="shared" ref="S40" si="33">+S41-S39</f>
        <v>24130</v>
      </c>
      <c r="T40" s="3">
        <f t="shared" si="27"/>
        <v>34765</v>
      </c>
      <c r="U40" s="3">
        <f t="shared" ref="U40" si="34">+U41-U39</f>
        <v>2509</v>
      </c>
      <c r="V40" s="3">
        <f t="shared" ref="V40" si="35">+V41-V39</f>
        <v>28129</v>
      </c>
      <c r="W40" s="3">
        <f t="shared" ref="W40" si="36">+W41-W39</f>
        <v>-3783</v>
      </c>
      <c r="X40" s="3">
        <f t="shared" si="27"/>
        <v>15709</v>
      </c>
      <c r="Z40" s="3">
        <f>+Z41-Z39</f>
        <v>42107</v>
      </c>
      <c r="AA40" s="3">
        <f t="shared" si="15"/>
        <v>42107</v>
      </c>
    </row>
    <row r="41" spans="2:27" x14ac:dyDescent="0.25">
      <c r="B41" s="1" t="s">
        <v>0</v>
      </c>
      <c r="C41" s="1" t="s">
        <v>124</v>
      </c>
      <c r="D41" s="38">
        <f>+D39+D40</f>
        <v>126555.61235833437</v>
      </c>
      <c r="E41" s="38">
        <f t="shared" ref="E41:G41" si="37">+E39+E40</f>
        <v>83383.633411354531</v>
      </c>
      <c r="F41" s="38">
        <f t="shared" si="37"/>
        <v>88497.653400061594</v>
      </c>
      <c r="G41" s="38">
        <f t="shared" si="37"/>
        <v>-4970.8991697514266</v>
      </c>
      <c r="H41" s="3">
        <v>252047</v>
      </c>
      <c r="I41" s="3">
        <f>492337-H41</f>
        <v>240290</v>
      </c>
      <c r="J41" s="3">
        <f>556701-I41-H41</f>
        <v>64364</v>
      </c>
      <c r="K41" s="3">
        <f>653056-J41-I41-H41</f>
        <v>96355</v>
      </c>
      <c r="L41" s="3">
        <v>271984</v>
      </c>
      <c r="M41" s="3">
        <f>457583-L41</f>
        <v>185599</v>
      </c>
      <c r="N41" s="3">
        <f>693378-M41-L41</f>
        <v>235795</v>
      </c>
      <c r="O41" s="3">
        <f>813216-N41-M41-L41</f>
        <v>119838</v>
      </c>
      <c r="P41" s="3">
        <v>311846</v>
      </c>
      <c r="Q41" s="3">
        <f>522334-P41</f>
        <v>210488</v>
      </c>
      <c r="R41" s="3">
        <f>893943-Q41-P41</f>
        <v>371609</v>
      </c>
      <c r="S41" s="3">
        <f>987374-R41-Q41-P41</f>
        <v>93431</v>
      </c>
      <c r="T41" s="3">
        <v>319916</v>
      </c>
      <c r="U41" s="3">
        <f>567475-T41</f>
        <v>247559</v>
      </c>
      <c r="V41" s="3">
        <f>818084-U41-T41</f>
        <v>250609</v>
      </c>
      <c r="W41" s="3">
        <f>908167-V41-U41-T41</f>
        <v>90083</v>
      </c>
      <c r="X41" s="3">
        <v>385499</v>
      </c>
      <c r="Z41" s="3">
        <v>293466</v>
      </c>
      <c r="AA41" s="3">
        <f t="shared" si="15"/>
        <v>293465.99999999907</v>
      </c>
    </row>
    <row r="42" spans="2:27" x14ac:dyDescent="0.25">
      <c r="B42" s="16" t="s">
        <v>19</v>
      </c>
      <c r="C42" s="13" t="s">
        <v>124</v>
      </c>
      <c r="D42" s="38">
        <f>+Z42*K158</f>
        <v>26235.223295487493</v>
      </c>
      <c r="E42" s="38">
        <f>+Z42*K159</f>
        <v>19345.099939702493</v>
      </c>
      <c r="F42" s="38">
        <f>+Z42*K160</f>
        <v>21007.817995341204</v>
      </c>
      <c r="G42" s="39">
        <f>+Z42*K161</f>
        <v>11510.858769468812</v>
      </c>
      <c r="H42" s="14">
        <f>+H41-H43</f>
        <v>49946</v>
      </c>
      <c r="I42" s="14">
        <f t="shared" ref="I42:X42" si="38">+I41-I43</f>
        <v>50485</v>
      </c>
      <c r="J42" s="14">
        <f t="shared" si="38"/>
        <v>9988</v>
      </c>
      <c r="K42" s="14">
        <f t="shared" si="38"/>
        <v>29027</v>
      </c>
      <c r="L42" s="14">
        <f t="shared" si="38"/>
        <v>52594</v>
      </c>
      <c r="M42" s="14">
        <f t="shared" ref="M42" si="39">+M41-M43</f>
        <v>40297</v>
      </c>
      <c r="N42" s="14">
        <f t="shared" ref="N42" si="40">+N41-N43</f>
        <v>53478</v>
      </c>
      <c r="O42" s="14">
        <f t="shared" ref="O42" si="41">+O41-O43</f>
        <v>27466</v>
      </c>
      <c r="P42" s="14">
        <f t="shared" si="38"/>
        <v>64484</v>
      </c>
      <c r="Q42" s="14">
        <f t="shared" ref="Q42" si="42">+Q41-Q43</f>
        <v>43737</v>
      </c>
      <c r="R42" s="14">
        <f t="shared" ref="R42" si="43">+R41-R43</f>
        <v>64967</v>
      </c>
      <c r="S42" s="14">
        <f t="shared" ref="S42" si="44">+S41-S43</f>
        <v>21665</v>
      </c>
      <c r="T42" s="14">
        <f t="shared" si="38"/>
        <v>70490</v>
      </c>
      <c r="U42" s="14">
        <f t="shared" ref="U42" si="45">+U41-U43</f>
        <v>40617</v>
      </c>
      <c r="V42" s="14">
        <f t="shared" ref="V42" si="46">+V41-V43</f>
        <v>61756</v>
      </c>
      <c r="W42" s="14">
        <f t="shared" ref="W42" si="47">+W41-W43</f>
        <v>17695</v>
      </c>
      <c r="X42" s="14">
        <f t="shared" si="38"/>
        <v>76860</v>
      </c>
      <c r="Z42" s="3">
        <f>+Z41-Z43</f>
        <v>78099</v>
      </c>
      <c r="AA42" s="3">
        <f t="shared" si="15"/>
        <v>78099</v>
      </c>
    </row>
    <row r="43" spans="2:27" x14ac:dyDescent="0.25">
      <c r="B43" s="1" t="s">
        <v>1</v>
      </c>
      <c r="C43" s="1" t="s">
        <v>124</v>
      </c>
      <c r="D43" s="38">
        <f t="shared" ref="D43:F43" si="48">+D41-D42</f>
        <v>100320.38906284688</v>
      </c>
      <c r="E43" s="38">
        <f t="shared" si="48"/>
        <v>64038.533471652037</v>
      </c>
      <c r="F43" s="38">
        <f t="shared" si="48"/>
        <v>67489.83540472039</v>
      </c>
      <c r="G43" s="38">
        <f>+G41-G42</f>
        <v>-16481.757939220239</v>
      </c>
      <c r="H43" s="3">
        <v>202101</v>
      </c>
      <c r="I43" s="3">
        <f>391906-H43</f>
        <v>189805</v>
      </c>
      <c r="J43" s="3">
        <f>446282-I43-H43</f>
        <v>54376</v>
      </c>
      <c r="K43" s="3">
        <f>513610-J43-I43-H43</f>
        <v>67328</v>
      </c>
      <c r="L43" s="3">
        <v>219390</v>
      </c>
      <c r="M43" s="3">
        <f>364692-L43</f>
        <v>145302</v>
      </c>
      <c r="N43" s="3">
        <f>547009-M43-L43</f>
        <v>182317</v>
      </c>
      <c r="O43" s="3">
        <f>639381-N43-M43-L43</f>
        <v>92372</v>
      </c>
      <c r="P43" s="3">
        <v>247362</v>
      </c>
      <c r="Q43" s="3">
        <f>414113-P43</f>
        <v>166751</v>
      </c>
      <c r="R43" s="3">
        <f>720755-Q43-P43</f>
        <v>306642</v>
      </c>
      <c r="S43" s="3">
        <f>792521-R43-Q43-P43</f>
        <v>71766</v>
      </c>
      <c r="T43" s="3">
        <v>249426</v>
      </c>
      <c r="U43" s="3">
        <f>456368-T43</f>
        <v>206942</v>
      </c>
      <c r="V43" s="3">
        <f>645221-U43-T43</f>
        <v>188853</v>
      </c>
      <c r="W43" s="3">
        <f>717609-V43-U43-T43</f>
        <v>72388</v>
      </c>
      <c r="X43" s="3">
        <v>308639</v>
      </c>
      <c r="Z43" s="3">
        <v>215367</v>
      </c>
      <c r="AA43" s="3">
        <f t="shared" si="15"/>
        <v>215366.99999999907</v>
      </c>
    </row>
    <row r="44" spans="2:27" ht="30" x14ac:dyDescent="0.25">
      <c r="B44" s="49" t="s">
        <v>162</v>
      </c>
      <c r="C44" s="1" t="s">
        <v>124</v>
      </c>
      <c r="D44" s="22">
        <f>+Z44*K168</f>
        <v>73826.980419976026</v>
      </c>
      <c r="E44" s="22">
        <f>+K169*Z44</f>
        <v>57414.781089090357</v>
      </c>
      <c r="F44" s="22">
        <f>+K170*Z44</f>
        <v>59264.132760377637</v>
      </c>
      <c r="G44" s="22">
        <f>+K171*Z44</f>
        <v>24855.105730555973</v>
      </c>
      <c r="H44" s="3">
        <v>201312</v>
      </c>
      <c r="I44" s="3">
        <f>391485-H44</f>
        <v>190173</v>
      </c>
      <c r="J44" s="3">
        <f>446372-I44-H44</f>
        <v>54887</v>
      </c>
      <c r="K44" s="3">
        <f>513589-J44-I44-H44</f>
        <v>67217</v>
      </c>
      <c r="L44" s="3">
        <v>218150</v>
      </c>
      <c r="M44" s="3">
        <f>363996-L44</f>
        <v>145846</v>
      </c>
      <c r="N44" s="3">
        <f>547388-M44-L44</f>
        <v>183392</v>
      </c>
      <c r="O44" s="3">
        <f>639262-N44-M44-L44</f>
        <v>91874</v>
      </c>
      <c r="P44" s="3">
        <v>246439</v>
      </c>
      <c r="Q44" s="3">
        <f>413949-P44</f>
        <v>167510</v>
      </c>
      <c r="R44" s="3">
        <f>721341-Q44-P44</f>
        <v>307392</v>
      </c>
      <c r="S44" s="3">
        <f>793292-R44-Q44-P44</f>
        <v>71951</v>
      </c>
      <c r="T44" s="3">
        <v>249116</v>
      </c>
      <c r="U44" s="3">
        <f>457190-T44</f>
        <v>208074</v>
      </c>
      <c r="V44" s="3">
        <f>647008-U44-T44</f>
        <v>189818</v>
      </c>
      <c r="W44" s="3">
        <f>717216-V44-U44-T44</f>
        <v>70208</v>
      </c>
      <c r="X44" s="3">
        <v>307795</v>
      </c>
      <c r="Z44" s="3">
        <v>215361</v>
      </c>
      <c r="AA44" s="3">
        <f t="shared" si="15"/>
        <v>215361</v>
      </c>
    </row>
    <row r="45" spans="2:27" x14ac:dyDescent="0.25">
      <c r="B45" s="5"/>
      <c r="C45" s="5"/>
      <c r="D45" s="5"/>
      <c r="E45" s="5"/>
      <c r="F45" s="5"/>
      <c r="G45" s="15"/>
      <c r="H45" s="15"/>
    </row>
    <row r="46" spans="2:27" x14ac:dyDescent="0.25">
      <c r="B46" s="17" t="s">
        <v>22</v>
      </c>
      <c r="C46" s="33"/>
      <c r="D46" s="33"/>
      <c r="E46" s="33"/>
      <c r="F46" s="3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7" x14ac:dyDescent="0.25">
      <c r="B47" s="5"/>
      <c r="C47" s="5"/>
      <c r="D47" s="5"/>
      <c r="E47" s="5"/>
      <c r="F47" s="5"/>
      <c r="G47" s="15"/>
      <c r="H47" s="15"/>
    </row>
    <row r="48" spans="2:27" x14ac:dyDescent="0.25">
      <c r="B48" s="1" t="s">
        <v>127</v>
      </c>
      <c r="C48" s="1" t="s">
        <v>126</v>
      </c>
      <c r="D48" s="5"/>
      <c r="E48" s="5"/>
      <c r="F48" s="5"/>
      <c r="G48" s="4">
        <v>441.44</v>
      </c>
      <c r="H48" s="4">
        <v>441.44</v>
      </c>
      <c r="I48" s="4">
        <v>441.44</v>
      </c>
      <c r="J48" s="4">
        <v>441.44</v>
      </c>
      <c r="K48" s="4">
        <v>441.44</v>
      </c>
      <c r="L48" s="4">
        <v>441.44</v>
      </c>
      <c r="M48" s="4">
        <v>441.44</v>
      </c>
      <c r="N48" s="4">
        <v>441.44</v>
      </c>
      <c r="O48" s="4">
        <v>441.44</v>
      </c>
      <c r="P48" s="4">
        <v>441.44</v>
      </c>
      <c r="Q48" s="4">
        <v>441.44</v>
      </c>
      <c r="R48" s="4">
        <v>441.44</v>
      </c>
      <c r="S48" s="4">
        <v>441.44</v>
      </c>
      <c r="T48" s="4">
        <v>441.44</v>
      </c>
      <c r="U48" s="4">
        <v>441.44</v>
      </c>
      <c r="V48" s="4">
        <v>441.44</v>
      </c>
      <c r="W48" s="4">
        <v>441.44</v>
      </c>
      <c r="X48" s="4">
        <v>441.44</v>
      </c>
    </row>
    <row r="49" spans="2:24" x14ac:dyDescent="0.25">
      <c r="B49" s="6" t="s">
        <v>23</v>
      </c>
      <c r="C49" s="6" t="s">
        <v>128</v>
      </c>
      <c r="D49" s="35"/>
      <c r="E49" s="35"/>
      <c r="F49" s="35"/>
      <c r="G49" s="19">
        <f t="shared" ref="G49:X49" si="49">+(G20*1000)/(G48*1000000)</f>
        <v>1.3320451250453063</v>
      </c>
      <c r="H49" s="19">
        <f t="shared" si="49"/>
        <v>1.3320451250453063</v>
      </c>
      <c r="I49" s="19">
        <f t="shared" si="49"/>
        <v>1.3320451250453063</v>
      </c>
      <c r="J49" s="19">
        <f t="shared" si="49"/>
        <v>1.3320451250453063</v>
      </c>
      <c r="K49" s="19">
        <f t="shared" si="49"/>
        <v>1.3320451250453063</v>
      </c>
      <c r="L49" s="19">
        <f t="shared" si="49"/>
        <v>1.3320451250453063</v>
      </c>
      <c r="M49" s="19">
        <f t="shared" si="49"/>
        <v>1.3320451250453063</v>
      </c>
      <c r="N49" s="19">
        <f t="shared" si="49"/>
        <v>1.3320451250453063</v>
      </c>
      <c r="O49" s="19">
        <f t="shared" si="49"/>
        <v>1.3320451250453063</v>
      </c>
      <c r="P49" s="19">
        <f t="shared" si="49"/>
        <v>1.3320451250453063</v>
      </c>
      <c r="Q49" s="19">
        <f t="shared" si="49"/>
        <v>1.3320451250453063</v>
      </c>
      <c r="R49" s="19">
        <f t="shared" si="49"/>
        <v>1.3320451250453063</v>
      </c>
      <c r="S49" s="19">
        <f t="shared" si="49"/>
        <v>1.3320451250453063</v>
      </c>
      <c r="T49" s="19">
        <f t="shared" si="49"/>
        <v>1.3320451250453063</v>
      </c>
      <c r="U49" s="19">
        <f t="shared" si="49"/>
        <v>1.3320451250453063</v>
      </c>
      <c r="V49" s="19">
        <f t="shared" si="49"/>
        <v>1.3320451250453063</v>
      </c>
      <c r="W49" s="19">
        <f t="shared" si="49"/>
        <v>1.3320451250453063</v>
      </c>
      <c r="X49" s="19">
        <f t="shared" si="49"/>
        <v>1.3320451250453063</v>
      </c>
    </row>
    <row r="50" spans="2:24" x14ac:dyDescent="0.25">
      <c r="B50" s="28" t="s">
        <v>85</v>
      </c>
      <c r="C50" s="28" t="s">
        <v>150</v>
      </c>
      <c r="D50" s="36"/>
      <c r="E50" s="36"/>
      <c r="F50" s="36"/>
      <c r="G50" s="43">
        <v>0</v>
      </c>
      <c r="H50" s="43">
        <v>0</v>
      </c>
      <c r="I50" s="43">
        <v>0</v>
      </c>
      <c r="J50" s="25">
        <v>0.46</v>
      </c>
      <c r="K50" s="43">
        <v>0.46</v>
      </c>
      <c r="L50" s="43">
        <v>0.46</v>
      </c>
      <c r="M50" s="43">
        <v>0.46</v>
      </c>
      <c r="N50" s="25">
        <v>0.38</v>
      </c>
      <c r="O50" s="43">
        <v>0.38</v>
      </c>
      <c r="P50" s="43">
        <v>0.38</v>
      </c>
      <c r="Q50" s="43">
        <v>0.38</v>
      </c>
      <c r="R50" s="25">
        <v>0.44</v>
      </c>
      <c r="S50" s="43">
        <v>0.44</v>
      </c>
      <c r="T50" s="43">
        <v>0.44</v>
      </c>
      <c r="U50" s="43">
        <v>0.44</v>
      </c>
      <c r="V50" s="25">
        <v>0.48</v>
      </c>
      <c r="W50" s="43">
        <v>0.48</v>
      </c>
      <c r="X50" s="43">
        <v>0.48</v>
      </c>
    </row>
    <row r="51" spans="2:24" x14ac:dyDescent="0.25">
      <c r="D51" s="5"/>
      <c r="E51" s="5"/>
      <c r="F51" s="5"/>
    </row>
    <row r="52" spans="2:24" x14ac:dyDescent="0.25">
      <c r="B52" s="9" t="s">
        <v>56</v>
      </c>
      <c r="C52" s="11"/>
      <c r="D52" s="11"/>
      <c r="E52" s="11"/>
      <c r="F52" s="11"/>
    </row>
    <row r="53" spans="2:24" x14ac:dyDescent="0.25">
      <c r="D53" s="5"/>
      <c r="E53" s="5"/>
      <c r="F53" s="5"/>
    </row>
    <row r="54" spans="2:24" x14ac:dyDescent="0.25">
      <c r="B54" s="1" t="s">
        <v>55</v>
      </c>
      <c r="C54" s="1" t="s">
        <v>128</v>
      </c>
      <c r="D54" s="5"/>
      <c r="E54" s="5"/>
      <c r="F54" s="5"/>
      <c r="G54" s="41" t="s">
        <v>155</v>
      </c>
      <c r="H54" s="24">
        <v>14.25</v>
      </c>
      <c r="I54" s="24">
        <v>17.38</v>
      </c>
      <c r="J54" s="24">
        <v>23.3</v>
      </c>
      <c r="K54" s="24">
        <v>21.4</v>
      </c>
      <c r="L54" s="24">
        <v>18.73</v>
      </c>
      <c r="M54" s="24">
        <v>17.600000000000001</v>
      </c>
      <c r="N54" s="24">
        <v>20.95</v>
      </c>
      <c r="O54" s="24">
        <v>23.7</v>
      </c>
      <c r="P54" s="24">
        <v>21.2</v>
      </c>
      <c r="Q54" s="24">
        <v>18</v>
      </c>
      <c r="R54" s="24">
        <v>16.100000000000001</v>
      </c>
      <c r="S54" s="24">
        <v>18</v>
      </c>
      <c r="T54" s="24">
        <v>17.05</v>
      </c>
      <c r="U54" s="24">
        <v>15.87</v>
      </c>
      <c r="V54" s="24">
        <v>16.350000000000001</v>
      </c>
      <c r="W54" s="24">
        <v>15.73</v>
      </c>
      <c r="X54" s="24">
        <v>14.85</v>
      </c>
    </row>
    <row r="55" spans="2:24" x14ac:dyDescent="0.25">
      <c r="B55" s="28" t="s">
        <v>151</v>
      </c>
      <c r="C55" s="1" t="s">
        <v>128</v>
      </c>
      <c r="D55" s="5"/>
      <c r="E55" s="5"/>
      <c r="F55" s="5"/>
      <c r="G55" s="41" t="s">
        <v>155</v>
      </c>
      <c r="H55" s="41" t="s">
        <v>155</v>
      </c>
      <c r="I55" s="41" t="s">
        <v>155</v>
      </c>
      <c r="J55" s="41" t="s">
        <v>155</v>
      </c>
      <c r="K55" s="56" t="s">
        <v>155</v>
      </c>
      <c r="L55" s="24">
        <v>19.23</v>
      </c>
      <c r="M55" s="24">
        <v>19.670000000000002</v>
      </c>
      <c r="N55" s="24">
        <v>19.059999999999999</v>
      </c>
      <c r="O55" s="42">
        <v>19.989999999999998</v>
      </c>
      <c r="P55" s="24">
        <v>20.85</v>
      </c>
      <c r="Q55" s="24">
        <v>21.14</v>
      </c>
      <c r="R55" s="24">
        <v>20.58</v>
      </c>
      <c r="S55" s="42">
        <v>19.25</v>
      </c>
      <c r="T55" s="24">
        <v>18.059999999999999</v>
      </c>
      <c r="U55" s="24">
        <v>17.260000000000002</v>
      </c>
      <c r="V55" s="24">
        <v>16.95</v>
      </c>
      <c r="W55" s="42">
        <v>16.36</v>
      </c>
      <c r="X55" s="24">
        <v>15.74</v>
      </c>
    </row>
    <row r="56" spans="2:24" x14ac:dyDescent="0.25">
      <c r="D56" s="5"/>
      <c r="E56" s="5"/>
      <c r="F56" s="5"/>
    </row>
    <row r="57" spans="2:24" x14ac:dyDescent="0.25">
      <c r="B57" s="9" t="s">
        <v>58</v>
      </c>
      <c r="C57" s="11"/>
      <c r="D57" s="11"/>
      <c r="E57" s="11"/>
      <c r="F57" s="11"/>
    </row>
    <row r="58" spans="2:24" x14ac:dyDescent="0.25">
      <c r="D58" s="5"/>
      <c r="E58" s="5"/>
      <c r="F58" s="5"/>
    </row>
    <row r="59" spans="2:24" x14ac:dyDescent="0.25">
      <c r="B59" s="1" t="s">
        <v>59</v>
      </c>
      <c r="C59" s="1" t="s">
        <v>129</v>
      </c>
      <c r="D59" s="5"/>
      <c r="E59" s="5"/>
      <c r="F59" s="5"/>
      <c r="G59" s="4">
        <f>+((+G10)/2)/((+G17)/2)</f>
        <v>2.619660514458094</v>
      </c>
      <c r="H59" s="4">
        <f>+((+G10+H10)/2)/((+G17+H17)/2)</f>
        <v>2.8636441725898867</v>
      </c>
      <c r="I59" s="4">
        <f>+((+G10+I10)/2)/((+G17+I17)/2)</f>
        <v>2.6791657391204864</v>
      </c>
      <c r="J59" s="4">
        <f>+((+G10+J10)/2)/((+G17+J17)/2)</f>
        <v>2.7673102585890406</v>
      </c>
      <c r="K59" s="4">
        <f t="shared" ref="K59:X59" si="50">+((+G10+K10)/2)/((+G17+K17)/2)</f>
        <v>2.6792966307855419</v>
      </c>
      <c r="L59" s="4">
        <f t="shared" si="50"/>
        <v>3.120783701437944</v>
      </c>
      <c r="M59" s="4">
        <f t="shared" si="50"/>
        <v>2.8932409619122619</v>
      </c>
      <c r="N59" s="4">
        <f t="shared" si="50"/>
        <v>3.0680762706506677</v>
      </c>
      <c r="O59" s="4">
        <f t="shared" si="50"/>
        <v>2.6575371849962961</v>
      </c>
      <c r="P59" s="4">
        <f t="shared" si="50"/>
        <v>3.140407202103042</v>
      </c>
      <c r="Q59" s="4">
        <f t="shared" si="50"/>
        <v>2.7953743595725116</v>
      </c>
      <c r="R59" s="4">
        <f t="shared" si="50"/>
        <v>2.9473096192020476</v>
      </c>
      <c r="S59" s="4">
        <f t="shared" si="50"/>
        <v>2.3824850600263741</v>
      </c>
      <c r="T59" s="4">
        <f t="shared" si="50"/>
        <v>2.8530165431610119</v>
      </c>
      <c r="U59" s="4">
        <f t="shared" si="50"/>
        <v>2.4542610819595372</v>
      </c>
      <c r="V59" s="4">
        <f t="shared" si="50"/>
        <v>2.6486923536537903</v>
      </c>
      <c r="W59" s="4">
        <f t="shared" si="50"/>
        <v>2.0026122103182309</v>
      </c>
      <c r="X59" s="4">
        <f t="shared" si="50"/>
        <v>2.2964167639372097</v>
      </c>
    </row>
    <row r="60" spans="2:24" x14ac:dyDescent="0.25">
      <c r="B60" s="1" t="s">
        <v>60</v>
      </c>
      <c r="C60" s="1" t="s">
        <v>129</v>
      </c>
      <c r="D60" s="5"/>
      <c r="E60" s="5"/>
      <c r="F60" s="5"/>
      <c r="G60" s="4">
        <f>+((+G8)/2)/((G17)/2)</f>
        <v>1.8152945128856963</v>
      </c>
      <c r="H60" s="4">
        <f>+((+G8+H8)/2)/((+G17+H17)/2)</f>
        <v>1.1903518062281124</v>
      </c>
      <c r="I60" s="4">
        <f>+((+G8+I8)/2)/((+G17+I17)/2)</f>
        <v>1.1496807977609322</v>
      </c>
      <c r="J60" s="4">
        <f>+((+G8+J8)/2)/((+G17+J17)/2)</f>
        <v>1.2627429377490953</v>
      </c>
      <c r="K60" s="4">
        <f t="shared" ref="K60:X60" si="51">+((+G8+K8)/2)/((+G17+K17)/2)</f>
        <v>1.2360646351415165</v>
      </c>
      <c r="L60" s="4">
        <f t="shared" si="51"/>
        <v>0.5708729490031027</v>
      </c>
      <c r="M60" s="4">
        <f t="shared" si="51"/>
        <v>0.62255432536861011</v>
      </c>
      <c r="N60" s="4">
        <f t="shared" si="51"/>
        <v>0.75055242369469188</v>
      </c>
      <c r="O60" s="4">
        <f t="shared" si="51"/>
        <v>0.60214016915134649</v>
      </c>
      <c r="P60" s="4">
        <f t="shared" si="51"/>
        <v>0.70358609085592494</v>
      </c>
      <c r="Q60" s="4">
        <f t="shared" si="51"/>
        <v>0.67698882178803199</v>
      </c>
      <c r="R60" s="4">
        <f t="shared" si="51"/>
        <v>0.73529561467929938</v>
      </c>
      <c r="S60" s="4">
        <f t="shared" si="51"/>
        <v>0.63061501390308539</v>
      </c>
      <c r="T60" s="4">
        <f t="shared" si="51"/>
        <v>0.65223299689953163</v>
      </c>
      <c r="U60" s="4">
        <f t="shared" si="51"/>
        <v>0.73038937845638396</v>
      </c>
      <c r="V60" s="4">
        <f t="shared" si="51"/>
        <v>0.88152075898852689</v>
      </c>
      <c r="W60" s="4">
        <f t="shared" si="51"/>
        <v>0.60954805547601321</v>
      </c>
      <c r="X60" s="4">
        <f t="shared" si="51"/>
        <v>0.53790877611482102</v>
      </c>
    </row>
    <row r="61" spans="2:24" x14ac:dyDescent="0.25">
      <c r="B61" s="1" t="s">
        <v>88</v>
      </c>
      <c r="C61" s="1" t="s">
        <v>124</v>
      </c>
      <c r="D61" s="5"/>
      <c r="E61" s="5"/>
      <c r="F61" s="5"/>
      <c r="G61" s="3">
        <f t="shared" ref="G61:X61" si="52">+G10-G17</f>
        <v>2338231</v>
      </c>
      <c r="H61" s="3">
        <f t="shared" si="52"/>
        <v>2597584</v>
      </c>
      <c r="I61" s="3">
        <f t="shared" si="52"/>
        <v>2534577</v>
      </c>
      <c r="J61" s="3">
        <f t="shared" si="52"/>
        <v>2605595</v>
      </c>
      <c r="K61" s="3">
        <f t="shared" si="52"/>
        <v>2448332</v>
      </c>
      <c r="L61" s="3">
        <f t="shared" si="52"/>
        <v>2713431</v>
      </c>
      <c r="M61" s="3">
        <f t="shared" si="52"/>
        <v>2665658</v>
      </c>
      <c r="N61" s="3">
        <f t="shared" si="52"/>
        <v>2824557</v>
      </c>
      <c r="O61" s="3">
        <f t="shared" si="52"/>
        <v>2512579</v>
      </c>
      <c r="P61" s="3">
        <f t="shared" si="52"/>
        <v>2794725</v>
      </c>
      <c r="Q61" s="3">
        <f t="shared" si="52"/>
        <v>2475427</v>
      </c>
      <c r="R61" s="3">
        <f t="shared" si="52"/>
        <v>2531596</v>
      </c>
      <c r="S61" s="3">
        <f t="shared" si="52"/>
        <v>2130645</v>
      </c>
      <c r="T61" s="3">
        <f t="shared" si="52"/>
        <v>2261453</v>
      </c>
      <c r="U61" s="3">
        <f t="shared" si="52"/>
        <v>2201958</v>
      </c>
      <c r="V61" s="3">
        <f t="shared" si="52"/>
        <v>2280660</v>
      </c>
      <c r="W61" s="3">
        <f t="shared" si="52"/>
        <v>1675290</v>
      </c>
      <c r="X61" s="3">
        <f t="shared" si="52"/>
        <v>1860215</v>
      </c>
    </row>
    <row r="62" spans="2:24" x14ac:dyDescent="0.25">
      <c r="B62" s="1" t="s">
        <v>137</v>
      </c>
      <c r="C62" s="1" t="s">
        <v>124</v>
      </c>
      <c r="D62" s="5"/>
      <c r="E62" s="5"/>
      <c r="F62" s="5"/>
      <c r="G62" s="3">
        <f>+((+G10+G10)/2)-((+G17+G17)/2)</f>
        <v>2338231</v>
      </c>
      <c r="H62" s="3">
        <f>+((+H10+G10)/2)-((+H17+G17)/2)</f>
        <v>2467907.5</v>
      </c>
      <c r="I62" s="3">
        <f>+((+I10+G10)/2)-((+I17+G17)/2)</f>
        <v>2436404</v>
      </c>
      <c r="J62" s="3">
        <f>+((+J10+G10)/2)-((+J17+G17)/2)</f>
        <v>2471913</v>
      </c>
      <c r="K62" s="3">
        <f t="shared" ref="K62:X62" si="53">+((+K10+G10)/2)-((+K17+G17)/2)</f>
        <v>2393281.5</v>
      </c>
      <c r="L62" s="3">
        <f t="shared" si="53"/>
        <v>2655507.5</v>
      </c>
      <c r="M62" s="3">
        <f t="shared" si="53"/>
        <v>2600117.5</v>
      </c>
      <c r="N62" s="3">
        <f t="shared" si="53"/>
        <v>2715076</v>
      </c>
      <c r="O62" s="3">
        <f t="shared" si="53"/>
        <v>2480455.5</v>
      </c>
      <c r="P62" s="3">
        <f t="shared" si="53"/>
        <v>2754078</v>
      </c>
      <c r="Q62" s="3">
        <f t="shared" si="53"/>
        <v>2570542.5</v>
      </c>
      <c r="R62" s="3">
        <f t="shared" si="53"/>
        <v>2678076.5</v>
      </c>
      <c r="S62" s="3">
        <f t="shared" si="53"/>
        <v>2321612</v>
      </c>
      <c r="T62" s="3">
        <f t="shared" si="53"/>
        <v>2528089</v>
      </c>
      <c r="U62" s="3">
        <f t="shared" si="53"/>
        <v>2338692.5</v>
      </c>
      <c r="V62" s="3">
        <f t="shared" si="53"/>
        <v>2406128</v>
      </c>
      <c r="W62" s="3">
        <f t="shared" si="53"/>
        <v>1902967.5</v>
      </c>
      <c r="X62" s="3">
        <f t="shared" si="53"/>
        <v>2060834</v>
      </c>
    </row>
    <row r="63" spans="2:24" x14ac:dyDescent="0.25">
      <c r="D63" s="5"/>
      <c r="E63" s="5"/>
      <c r="F63" s="5"/>
    </row>
    <row r="64" spans="2:24" x14ac:dyDescent="0.25">
      <c r="B64" s="9" t="s">
        <v>61</v>
      </c>
      <c r="C64" s="11"/>
      <c r="D64" s="11"/>
      <c r="E64" s="11"/>
      <c r="F64" s="11"/>
    </row>
    <row r="66" spans="2:24" ht="30" x14ac:dyDescent="0.25">
      <c r="B66" s="13" t="s">
        <v>62</v>
      </c>
      <c r="C66" s="13" t="s">
        <v>130</v>
      </c>
      <c r="D66" s="34"/>
      <c r="E66" s="34"/>
      <c r="F66" s="34"/>
      <c r="G66" s="3">
        <f>+((+G9+G9)/2)/(+G37+F37+E37+D37)*$E$204</f>
        <v>69.020056637460172</v>
      </c>
      <c r="H66" s="3">
        <f>+((+H9+G9)/2)/(+H37+G37+F37+E37)*$D$204</f>
        <v>125.82789456324424</v>
      </c>
      <c r="I66" s="3">
        <f>+((+I9+G9)/2)/(+I37+H37+G37+F37)*$D$204</f>
        <v>122.00678836942384</v>
      </c>
      <c r="J66" s="3">
        <f>+((+J9+G9)/2)/(+J37+I37+H37+G37)*$D$204</f>
        <v>113.34199987462807</v>
      </c>
      <c r="K66" s="3">
        <f t="shared" ref="K66:S66" si="54">+((+K9+G9)/2)/(+K37+J37+I37+H37)*$D$204</f>
        <v>104.94850394400845</v>
      </c>
      <c r="L66" s="3">
        <f t="shared" si="54"/>
        <v>159.85618265447241</v>
      </c>
      <c r="M66" s="3">
        <f t="shared" si="54"/>
        <v>152.18428559204537</v>
      </c>
      <c r="N66" s="3">
        <f t="shared" si="54"/>
        <v>143.44627583193261</v>
      </c>
      <c r="O66" s="3">
        <f t="shared" si="54"/>
        <v>143.25633176489353</v>
      </c>
      <c r="P66" s="3">
        <f t="shared" si="54"/>
        <v>138.0896132533355</v>
      </c>
      <c r="Q66" s="3">
        <f t="shared" si="54"/>
        <v>127.76529552470454</v>
      </c>
      <c r="R66" s="3">
        <f t="shared" si="54"/>
        <v>120.99419090378817</v>
      </c>
      <c r="S66" s="3">
        <f t="shared" si="54"/>
        <v>110.82743314058108</v>
      </c>
      <c r="T66" s="3">
        <f>+((+T9+P9)/2)/(+T37+S37+R37+Q37)*$E$204</f>
        <v>111.42547806595469</v>
      </c>
      <c r="U66" s="3">
        <f>+((+U9+Q9)/2)/(+U37+T37+S37+R37)*$E$204</f>
        <v>100.74876465864763</v>
      </c>
      <c r="V66" s="3">
        <f>+((+V9+R9)/2)/(+V37+U37+T37+S37)*$E$204</f>
        <v>93.404237332915898</v>
      </c>
      <c r="W66" s="3">
        <f>+((+W9+S9)/2)/(+W37+V37+U37+T37)*$E$204</f>
        <v>94.040148412339548</v>
      </c>
      <c r="X66" s="3">
        <f>+((+X9+T9)/2)/(+X37+W37+V37+U37)*$D$204</f>
        <v>101.21912972931631</v>
      </c>
    </row>
    <row r="67" spans="2:24" x14ac:dyDescent="0.25">
      <c r="B67" s="1" t="s">
        <v>63</v>
      </c>
      <c r="C67" s="1" t="s">
        <v>130</v>
      </c>
      <c r="D67" s="5"/>
      <c r="E67" s="5"/>
      <c r="F67" s="5"/>
      <c r="G67" s="3">
        <f>+((+G17+G17)/2)/(+G38+F38+E38+D38)*$E$204</f>
        <v>89.458462282373901</v>
      </c>
      <c r="H67" s="3">
        <f>+((+H17+G17)/2)/(+H38+G38+F38+E38)*$D$204</f>
        <v>79.665127280530029</v>
      </c>
      <c r="I67" s="3">
        <f>+((+I17+G17)/2)/(+I38+H38+G38+F38)*$D$204</f>
        <v>86.092050361445075</v>
      </c>
      <c r="J67" s="3">
        <f>+((+J17+G17)/2)/(+J38+I38+H38+G38)*$D$204</f>
        <v>80.384492849891544</v>
      </c>
      <c r="K67" s="3">
        <f t="shared" ref="K67:S67" si="55">+((+K17+G17)/2)/(+K38+J38+I38+H38)*$D$204</f>
        <v>78.248224553182482</v>
      </c>
      <c r="L67" s="3">
        <f t="shared" si="55"/>
        <v>67.392136357557121</v>
      </c>
      <c r="M67" s="3">
        <f t="shared" si="55"/>
        <v>71.568212092138737</v>
      </c>
      <c r="N67" s="3">
        <f t="shared" si="55"/>
        <v>67.826507803456664</v>
      </c>
      <c r="O67" s="3">
        <f t="shared" si="55"/>
        <v>76.662253395165223</v>
      </c>
      <c r="P67" s="3">
        <f t="shared" si="55"/>
        <v>62.457218008226327</v>
      </c>
      <c r="Q67" s="3">
        <f t="shared" si="55"/>
        <v>66.083579264354114</v>
      </c>
      <c r="R67" s="3">
        <f t="shared" si="55"/>
        <v>60.47226387438743</v>
      </c>
      <c r="S67" s="3">
        <f t="shared" si="55"/>
        <v>69.300716246124111</v>
      </c>
      <c r="T67" s="3">
        <f>+((+T17+P17)/2)/(+T38+S38+R38+Q38)*$E$204</f>
        <v>55.383978050379554</v>
      </c>
      <c r="U67" s="3">
        <f>+((+U17+Q17)/2)/(+U38+T38+S38+R38)*$E$204</f>
        <v>64.432902600978863</v>
      </c>
      <c r="V67" s="3">
        <f>+((+V17+R17)/2)/(+V38+U38+T38+S38)*$E$204</f>
        <v>57.534957026476931</v>
      </c>
      <c r="W67" s="3">
        <f>+((+W17+S17)/2)/(+W38+V38+U38+T38)*$E$204</f>
        <v>73.557130093143016</v>
      </c>
      <c r="X67" s="3">
        <f>+((+X17+T17)/2)/(+X38+W38+V38+U38)*$D$204</f>
        <v>63.418026062227078</v>
      </c>
    </row>
    <row r="68" spans="2:24" x14ac:dyDescent="0.25">
      <c r="B68" s="1" t="s">
        <v>64</v>
      </c>
      <c r="C68" s="1" t="s">
        <v>130</v>
      </c>
      <c r="D68" s="5"/>
      <c r="E68" s="5"/>
      <c r="F68" s="5"/>
      <c r="G68" s="3">
        <f>+G62/(+G38+F38+E38+D38)*$E$204</f>
        <v>144.89233904289972</v>
      </c>
      <c r="H68" s="3">
        <f t="shared" ref="H68:S68" si="56">+H62/(+H38+G38+F38+E38)*$D$204</f>
        <v>148.46745021499137</v>
      </c>
      <c r="I68" s="3">
        <f t="shared" si="56"/>
        <v>144.56282137757404</v>
      </c>
      <c r="J68" s="3">
        <f t="shared" si="56"/>
        <v>142.0643388450907</v>
      </c>
      <c r="K68" s="3">
        <f t="shared" si="56"/>
        <v>131.40197985710984</v>
      </c>
      <c r="L68" s="3">
        <f t="shared" si="56"/>
        <v>142.92414439219061</v>
      </c>
      <c r="M68" s="3">
        <f t="shared" si="56"/>
        <v>135.4958707036615</v>
      </c>
      <c r="N68" s="3">
        <f t="shared" si="56"/>
        <v>140.27039130943109</v>
      </c>
      <c r="O68" s="3">
        <f t="shared" si="56"/>
        <v>127.07053568809491</v>
      </c>
      <c r="P68" s="3">
        <f t="shared" si="56"/>
        <v>133.68387924812743</v>
      </c>
      <c r="Q68" s="3">
        <f t="shared" si="56"/>
        <v>118.6447637999991</v>
      </c>
      <c r="R68" s="3">
        <f t="shared" si="56"/>
        <v>117.75822113751913</v>
      </c>
      <c r="S68" s="3">
        <f t="shared" si="56"/>
        <v>95.807204859393593</v>
      </c>
      <c r="T68" s="3">
        <f>+T62/(+T38+S38+R38+Q38)*$E$204</f>
        <v>102.62742755341966</v>
      </c>
      <c r="U68" s="3">
        <f>+U62/(+U38+T38+S38+R38)*$E$204</f>
        <v>93.702262650292994</v>
      </c>
      <c r="V68" s="3">
        <f>+V62/(+V38+U38+T38+S38)*$E$204</f>
        <v>94.857443717351927</v>
      </c>
      <c r="W68" s="3">
        <f>+W62/(+W38+V38+U38+T38)*$E$204</f>
        <v>73.749276787351761</v>
      </c>
      <c r="X68" s="3">
        <f>+X62/(+X38+W38+V38+U38)*$D$204</f>
        <v>82.216192122878056</v>
      </c>
    </row>
    <row r="70" spans="2:24" x14ac:dyDescent="0.25">
      <c r="B70" s="9" t="s">
        <v>149</v>
      </c>
    </row>
    <row r="72" spans="2:24" x14ac:dyDescent="0.25">
      <c r="B72" s="1" t="s">
        <v>139</v>
      </c>
      <c r="C72" s="1" t="s">
        <v>142</v>
      </c>
      <c r="G72" s="20">
        <f t="shared" ref="G72:X72" si="57">(+G39+F39+E39+D39)/(+G37+F37+E37+D37)</f>
        <v>4.0819862800803131E-2</v>
      </c>
      <c r="H72" s="20">
        <f t="shared" si="57"/>
        <v>5.6076397481572525E-2</v>
      </c>
      <c r="I72" s="20">
        <f t="shared" si="57"/>
        <v>7.3435325406039809E-2</v>
      </c>
      <c r="J72" s="20">
        <f t="shared" si="57"/>
        <v>6.2854615743894782E-2</v>
      </c>
      <c r="K72" s="20">
        <f t="shared" si="57"/>
        <v>7.0679298788888081E-2</v>
      </c>
      <c r="L72" s="20">
        <f t="shared" si="57"/>
        <v>6.975952106676879E-2</v>
      </c>
      <c r="M72" s="20">
        <f t="shared" si="57"/>
        <v>6.3533086165887417E-2</v>
      </c>
      <c r="N72" s="20">
        <f t="shared" si="57"/>
        <v>8.7431216136044446E-2</v>
      </c>
      <c r="O72" s="20">
        <f t="shared" si="57"/>
        <v>9.0847946407209501E-2</v>
      </c>
      <c r="P72" s="20">
        <f t="shared" si="57"/>
        <v>9.2692023444310712E-2</v>
      </c>
      <c r="Q72" s="20">
        <f t="shared" si="57"/>
        <v>8.7328805856943623E-2</v>
      </c>
      <c r="R72" s="20">
        <f t="shared" si="57"/>
        <v>9.5475322033506768E-2</v>
      </c>
      <c r="S72" s="20">
        <f t="shared" si="57"/>
        <v>8.7132670426895625E-2</v>
      </c>
      <c r="T72" s="20">
        <f t="shared" si="57"/>
        <v>8.5838285002614451E-2</v>
      </c>
      <c r="U72" s="20">
        <f t="shared" si="57"/>
        <v>9.2958636208963413E-2</v>
      </c>
      <c r="V72" s="20">
        <f t="shared" si="57"/>
        <v>8.1337341841418789E-2</v>
      </c>
      <c r="W72" s="20">
        <f t="shared" si="57"/>
        <v>8.2264752632981872E-2</v>
      </c>
      <c r="X72" s="20">
        <f t="shared" si="57"/>
        <v>9.2376914987258793E-2</v>
      </c>
    </row>
    <row r="73" spans="2:24" x14ac:dyDescent="0.25">
      <c r="B73" s="1" t="s">
        <v>140</v>
      </c>
      <c r="C73" s="1" t="s">
        <v>142</v>
      </c>
      <c r="G73" s="20">
        <f t="shared" ref="G73:X73" si="58">+(+G43+F43+E43+D43)/(+G37+F37+E37+D37)</f>
        <v>3.4974882108142383E-2</v>
      </c>
      <c r="H73" s="20">
        <f t="shared" si="58"/>
        <v>4.9340983008380239E-2</v>
      </c>
      <c r="I73" s="20">
        <f t="shared" si="58"/>
        <v>6.6712876984634226E-2</v>
      </c>
      <c r="J73" s="20">
        <f t="shared" si="58"/>
        <v>6.342093709229106E-2</v>
      </c>
      <c r="K73" s="20">
        <f t="shared" si="58"/>
        <v>7.1798330022370835E-2</v>
      </c>
      <c r="L73" s="20">
        <f t="shared" si="58"/>
        <v>7.2823633693551978E-2</v>
      </c>
      <c r="M73" s="20">
        <f t="shared" si="58"/>
        <v>6.5031332685332136E-2</v>
      </c>
      <c r="N73" s="20">
        <f t="shared" si="58"/>
        <v>7.9353015433186735E-2</v>
      </c>
      <c r="O73" s="20">
        <f t="shared" si="58"/>
        <v>8.15862189967302E-2</v>
      </c>
      <c r="P73" s="20">
        <f t="shared" si="58"/>
        <v>8.0523062722279035E-2</v>
      </c>
      <c r="Q73" s="20">
        <f t="shared" si="58"/>
        <v>7.9494972950090503E-2</v>
      </c>
      <c r="R73" s="20">
        <f t="shared" si="58"/>
        <v>8.8604176952716843E-2</v>
      </c>
      <c r="S73" s="20">
        <f t="shared" si="58"/>
        <v>8.1796384726558063E-2</v>
      </c>
      <c r="T73" s="20">
        <f t="shared" si="58"/>
        <v>8.0566294607482339E-2</v>
      </c>
      <c r="U73" s="20">
        <f t="shared" si="58"/>
        <v>8.2888239748913295E-2</v>
      </c>
      <c r="V73" s="20">
        <f t="shared" si="58"/>
        <v>7.0947802646351546E-2</v>
      </c>
      <c r="W73" s="20">
        <f t="shared" si="58"/>
        <v>6.9734966720337424E-2</v>
      </c>
      <c r="X73" s="20">
        <f t="shared" si="58"/>
        <v>7.7063465144699722E-2</v>
      </c>
    </row>
    <row r="74" spans="2:24" x14ac:dyDescent="0.25">
      <c r="B74" s="1" t="s">
        <v>141</v>
      </c>
      <c r="C74" s="1" t="s">
        <v>142</v>
      </c>
      <c r="G74" s="20">
        <f>+(+G43+F43+E43+D43)/((+G14+G14)/2)</f>
        <v>1.7968337341231301E-2</v>
      </c>
      <c r="H74" s="20">
        <f>+(+H43+G43+F43+E43)/((+H14+G14)/2)</f>
        <v>2.647958330157698E-2</v>
      </c>
      <c r="I74" s="20">
        <f>+(+I43+H43+G43+F43)/((+I14+G14)/2)</f>
        <v>3.6661998250105361E-2</v>
      </c>
      <c r="J74" s="20">
        <f>+(+J43+I43+H43+G43)/((+J14+G14)/2)</f>
        <v>3.5649521774606958E-2</v>
      </c>
      <c r="K74" s="20">
        <f t="shared" ref="K74:X74" si="59">+(+K43+J43+I43+H43)/((+K14+G14)/2)</f>
        <v>4.2419753708404145E-2</v>
      </c>
      <c r="L74" s="20">
        <f t="shared" si="59"/>
        <v>4.3681123577043991E-2</v>
      </c>
      <c r="M74" s="20">
        <f t="shared" si="59"/>
        <v>3.9735970928127258E-2</v>
      </c>
      <c r="N74" s="20">
        <f t="shared" si="59"/>
        <v>4.9915235336200667E-2</v>
      </c>
      <c r="O74" s="20">
        <f t="shared" si="59"/>
        <v>5.1014998448320824E-2</v>
      </c>
      <c r="P74" s="20">
        <f t="shared" si="59"/>
        <v>5.307091625469329E-2</v>
      </c>
      <c r="Q74" s="20">
        <f t="shared" si="59"/>
        <v>5.423082890061761E-2</v>
      </c>
      <c r="R74" s="20">
        <f t="shared" si="59"/>
        <v>6.300481210296896E-2</v>
      </c>
      <c r="S74" s="20">
        <f t="shared" si="59"/>
        <v>5.9730412326010576E-2</v>
      </c>
      <c r="T74" s="20">
        <f t="shared" si="59"/>
        <v>6.0054425634064761E-2</v>
      </c>
      <c r="U74" s="20">
        <f t="shared" si="59"/>
        <v>6.1951535407715606E-2</v>
      </c>
      <c r="V74" s="20">
        <f t="shared" si="59"/>
        <v>5.2807490815785937E-2</v>
      </c>
      <c r="W74" s="20">
        <f t="shared" si="59"/>
        <v>5.0517423998488437E-2</v>
      </c>
      <c r="X74" s="20">
        <f t="shared" si="59"/>
        <v>5.4763110081519857E-2</v>
      </c>
    </row>
    <row r="75" spans="2:24" x14ac:dyDescent="0.25">
      <c r="B75" s="1" t="s">
        <v>148</v>
      </c>
      <c r="C75" s="1" t="s">
        <v>142</v>
      </c>
      <c r="G75" s="20">
        <f>(+G43+F43+E43+D43)/((+G22+G22)/2)</f>
        <v>2.3865354838788214E-2</v>
      </c>
      <c r="H75" s="20">
        <f>(+H43+G43+F43+E43)/((+H22+G22)/2)</f>
        <v>3.4763165689045299E-2</v>
      </c>
      <c r="I75" s="20">
        <f>(+I43+H43+G43+F43)/((+I22+G22)/2)</f>
        <v>4.8525186605184414E-2</v>
      </c>
      <c r="J75" s="20">
        <f>(+J43+I43+H43+G43)/((+J22+G22)/2)</f>
        <v>4.689117746056267E-2</v>
      </c>
      <c r="K75" s="20">
        <f t="shared" ref="K75:X75" si="60">(+K43+J43+I43+H43)/((+K22+G22)/2)</f>
        <v>5.5836638830245193E-2</v>
      </c>
      <c r="L75" s="20">
        <f t="shared" si="60"/>
        <v>5.6431115829361722E-2</v>
      </c>
      <c r="M75" s="20">
        <f t="shared" si="60"/>
        <v>5.1736979118468661E-2</v>
      </c>
      <c r="N75" s="20">
        <f t="shared" si="60"/>
        <v>6.4392874549942608E-2</v>
      </c>
      <c r="O75" s="20">
        <f t="shared" si="60"/>
        <v>6.6432304182133403E-2</v>
      </c>
      <c r="P75" s="20">
        <f t="shared" si="60"/>
        <v>6.7670104980719403E-2</v>
      </c>
      <c r="Q75" s="20">
        <f t="shared" si="60"/>
        <v>7.0033942673297031E-2</v>
      </c>
      <c r="R75" s="20">
        <f t="shared" si="60"/>
        <v>8.0593016452035787E-2</v>
      </c>
      <c r="S75" s="20">
        <f t="shared" si="60"/>
        <v>7.7865192444987241E-2</v>
      </c>
      <c r="T75" s="20">
        <f t="shared" si="60"/>
        <v>7.6154663207407255E-2</v>
      </c>
      <c r="U75" s="20">
        <f t="shared" si="60"/>
        <v>8.0155125944289918E-2</v>
      </c>
      <c r="V75" s="20">
        <f t="shared" si="60"/>
        <v>6.7247289226221502E-2</v>
      </c>
      <c r="W75" s="20">
        <f t="shared" si="60"/>
        <v>6.700974178321556E-2</v>
      </c>
      <c r="X75" s="20">
        <f t="shared" si="60"/>
        <v>7.0690161865239229E-2</v>
      </c>
    </row>
    <row r="77" spans="2:24" x14ac:dyDescent="0.25">
      <c r="B77" s="9" t="s">
        <v>65</v>
      </c>
      <c r="C77" s="11"/>
      <c r="D77" s="11"/>
      <c r="E77" s="11"/>
      <c r="F77" s="11"/>
    </row>
    <row r="79" spans="2:24" x14ac:dyDescent="0.25">
      <c r="B79" s="1" t="s">
        <v>69</v>
      </c>
      <c r="C79" s="1" t="s">
        <v>142</v>
      </c>
      <c r="D79" s="5"/>
      <c r="E79" s="5"/>
      <c r="F79" s="5"/>
      <c r="G79" s="20">
        <f t="shared" ref="G79:X79" si="61">+G18/G14</f>
        <v>0.24709532028296208</v>
      </c>
      <c r="H79" s="20">
        <f t="shared" si="61"/>
        <v>0.22946402915658126</v>
      </c>
      <c r="I79" s="20">
        <f t="shared" si="61"/>
        <v>0.24189533782918665</v>
      </c>
      <c r="J79" s="20">
        <f t="shared" si="61"/>
        <v>0.23246853080767257</v>
      </c>
      <c r="K79" s="20">
        <f t="shared" si="61"/>
        <v>0.23361675293760562</v>
      </c>
      <c r="L79" s="20">
        <f t="shared" si="61"/>
        <v>0.22252018480145028</v>
      </c>
      <c r="M79" s="20">
        <f t="shared" si="61"/>
        <v>0.22213274847898701</v>
      </c>
      <c r="N79" s="20">
        <f t="shared" si="61"/>
        <v>0.21741865453484413</v>
      </c>
      <c r="O79" s="20">
        <f t="shared" si="61"/>
        <v>0.23060699766801526</v>
      </c>
      <c r="P79" s="20">
        <f t="shared" si="61"/>
        <v>0.20920976527959054</v>
      </c>
      <c r="Q79" s="20">
        <f t="shared" si="61"/>
        <v>0.22895329751988061</v>
      </c>
      <c r="R79" s="20">
        <f t="shared" si="61"/>
        <v>0.21899991563459151</v>
      </c>
      <c r="S79" s="20">
        <f t="shared" si="61"/>
        <v>0.23504795000603654</v>
      </c>
      <c r="T79" s="20">
        <f t="shared" si="61"/>
        <v>0.21348410815612656</v>
      </c>
      <c r="U79" s="20">
        <f t="shared" si="61"/>
        <v>0.22535644824422965</v>
      </c>
      <c r="V79" s="20">
        <f t="shared" si="61"/>
        <v>0.21061094944602093</v>
      </c>
      <c r="W79" s="20">
        <f t="shared" si="61"/>
        <v>0.25642797622535579</v>
      </c>
      <c r="X79" s="20">
        <f t="shared" si="61"/>
        <v>0.2362757505272168</v>
      </c>
    </row>
    <row r="80" spans="2:24" x14ac:dyDescent="0.25">
      <c r="B80" s="1" t="s">
        <v>70</v>
      </c>
      <c r="C80" s="1" t="s">
        <v>142</v>
      </c>
      <c r="D80" s="5"/>
      <c r="E80" s="5"/>
      <c r="F80" s="5"/>
      <c r="G80" s="20">
        <f t="shared" ref="G80:X80" si="62">+G18/G22</f>
        <v>0.32818938032876516</v>
      </c>
      <c r="H80" s="20">
        <f t="shared" si="62"/>
        <v>0.29779794563699979</v>
      </c>
      <c r="I80" s="20">
        <f t="shared" si="62"/>
        <v>0.31907907957791148</v>
      </c>
      <c r="J80" s="20">
        <f t="shared" si="62"/>
        <v>0.30287817521319221</v>
      </c>
      <c r="K80" s="20">
        <f t="shared" si="62"/>
        <v>0.30483019276984002</v>
      </c>
      <c r="L80" s="20">
        <f t="shared" si="62"/>
        <v>0.28620702486613619</v>
      </c>
      <c r="M80" s="20">
        <f t="shared" si="62"/>
        <v>0.28556639715148929</v>
      </c>
      <c r="N80" s="20">
        <f t="shared" si="62"/>
        <v>0.27782243442771232</v>
      </c>
      <c r="O80" s="20">
        <f t="shared" si="62"/>
        <v>0.29972588387086846</v>
      </c>
      <c r="P80" s="20">
        <f t="shared" si="62"/>
        <v>0.26455785124048525</v>
      </c>
      <c r="Q80" s="20">
        <f t="shared" si="62"/>
        <v>0.29693830060285348</v>
      </c>
      <c r="R80" s="20">
        <f t="shared" si="62"/>
        <v>0.28040959280118011</v>
      </c>
      <c r="S80" s="20">
        <f t="shared" si="62"/>
        <v>0.30727148192869264</v>
      </c>
      <c r="T80" s="20">
        <f t="shared" si="62"/>
        <v>0.2714301266763266</v>
      </c>
      <c r="U80" s="20">
        <f t="shared" si="62"/>
        <v>0.29091631594098655</v>
      </c>
      <c r="V80" s="20">
        <f t="shared" si="62"/>
        <v>0.26680247122533302</v>
      </c>
      <c r="W80" s="20">
        <f t="shared" si="62"/>
        <v>0.34485963434131556</v>
      </c>
      <c r="X80" s="20">
        <f t="shared" si="62"/>
        <v>0.3093731156111954</v>
      </c>
    </row>
    <row r="81" spans="2:24" x14ac:dyDescent="0.25">
      <c r="B81" s="6" t="s">
        <v>145</v>
      </c>
      <c r="C81" s="6"/>
      <c r="D81" s="35"/>
      <c r="E81" s="35"/>
      <c r="F81" s="35"/>
      <c r="G81" s="7">
        <f t="shared" ref="G81:P82" si="63">+G39+F39+E39+D39</f>
        <v>251358.99999999907</v>
      </c>
      <c r="H81" s="7">
        <f t="shared" si="63"/>
        <v>360440.63994878833</v>
      </c>
      <c r="I81" s="7">
        <f t="shared" si="63"/>
        <v>487545.14684003871</v>
      </c>
      <c r="J81" s="7">
        <f t="shared" si="63"/>
        <v>425962.31307731639</v>
      </c>
      <c r="K81" s="7">
        <f t="shared" si="63"/>
        <v>505605</v>
      </c>
      <c r="L81" s="7">
        <f t="shared" si="63"/>
        <v>508561</v>
      </c>
      <c r="M81" s="7">
        <f t="shared" si="63"/>
        <v>475190</v>
      </c>
      <c r="N81" s="7">
        <f t="shared" si="63"/>
        <v>676877</v>
      </c>
      <c r="O81" s="7">
        <f t="shared" si="63"/>
        <v>711964</v>
      </c>
      <c r="P81" s="7">
        <f t="shared" si="63"/>
        <v>768206</v>
      </c>
      <c r="Q81" s="7">
        <f t="shared" ref="Q81:X82" si="64">+Q39+P39+O39+N39</f>
        <v>756680</v>
      </c>
      <c r="R81" s="7">
        <f t="shared" si="64"/>
        <v>876184</v>
      </c>
      <c r="S81" s="7">
        <f t="shared" si="64"/>
        <v>844224</v>
      </c>
      <c r="T81" s="7">
        <f t="shared" si="64"/>
        <v>846580</v>
      </c>
      <c r="U81" s="7">
        <f t="shared" si="64"/>
        <v>936196</v>
      </c>
      <c r="V81" s="7">
        <f t="shared" si="64"/>
        <v>821982</v>
      </c>
      <c r="W81" s="7">
        <f t="shared" si="64"/>
        <v>846547</v>
      </c>
      <c r="X81" s="7">
        <f t="shared" si="64"/>
        <v>931186</v>
      </c>
    </row>
    <row r="82" spans="2:24" x14ac:dyDescent="0.25">
      <c r="B82" s="6" t="s">
        <v>146</v>
      </c>
      <c r="C82" s="6"/>
      <c r="D82" s="35"/>
      <c r="E82" s="35"/>
      <c r="F82" s="35"/>
      <c r="G82" s="7">
        <f t="shared" si="63"/>
        <v>42107</v>
      </c>
      <c r="H82" s="7">
        <f t="shared" si="63"/>
        <v>58516.747692876364</v>
      </c>
      <c r="I82" s="7">
        <f t="shared" si="63"/>
        <v>88318.607390271456</v>
      </c>
      <c r="J82" s="7">
        <f t="shared" si="63"/>
        <v>125767.78775293218</v>
      </c>
      <c r="K82" s="7">
        <f t="shared" si="63"/>
        <v>147451</v>
      </c>
      <c r="L82" s="7">
        <f t="shared" si="63"/>
        <v>164432</v>
      </c>
      <c r="M82" s="7">
        <f t="shared" si="63"/>
        <v>143112</v>
      </c>
      <c r="N82" s="7">
        <f t="shared" si="63"/>
        <v>112856</v>
      </c>
      <c r="O82" s="7">
        <f t="shared" si="63"/>
        <v>101252</v>
      </c>
      <c r="P82" s="7">
        <f t="shared" si="63"/>
        <v>84872</v>
      </c>
      <c r="Q82" s="7">
        <f t="shared" si="64"/>
        <v>121287</v>
      </c>
      <c r="R82" s="7">
        <f t="shared" si="64"/>
        <v>137597</v>
      </c>
      <c r="S82" s="7">
        <f t="shared" si="64"/>
        <v>143150</v>
      </c>
      <c r="T82" s="7">
        <f t="shared" si="64"/>
        <v>148864</v>
      </c>
      <c r="U82" s="7">
        <f t="shared" si="64"/>
        <v>96319</v>
      </c>
      <c r="V82" s="7">
        <f t="shared" si="64"/>
        <v>89533</v>
      </c>
      <c r="W82" s="7">
        <f t="shared" si="64"/>
        <v>61620</v>
      </c>
      <c r="X82" s="7">
        <f t="shared" si="64"/>
        <v>42564</v>
      </c>
    </row>
    <row r="83" spans="2:24" ht="60" x14ac:dyDescent="0.25">
      <c r="B83" s="13" t="s">
        <v>147</v>
      </c>
      <c r="C83" s="1" t="s">
        <v>129</v>
      </c>
      <c r="D83" s="5"/>
      <c r="E83" s="5"/>
      <c r="F83" s="5"/>
      <c r="G83" s="55" t="s">
        <v>168</v>
      </c>
      <c r="H83" s="55" t="s">
        <v>168</v>
      </c>
      <c r="I83" s="55" t="s">
        <v>168</v>
      </c>
      <c r="J83" s="55" t="s">
        <v>168</v>
      </c>
      <c r="K83" s="55" t="s">
        <v>168</v>
      </c>
      <c r="L83" s="55" t="s">
        <v>168</v>
      </c>
      <c r="M83" s="55" t="s">
        <v>168</v>
      </c>
      <c r="N83" s="55" t="s">
        <v>168</v>
      </c>
      <c r="O83" s="55" t="s">
        <v>168</v>
      </c>
      <c r="P83" s="55" t="s">
        <v>168</v>
      </c>
      <c r="Q83" s="55" t="s">
        <v>168</v>
      </c>
      <c r="R83" s="55" t="s">
        <v>168</v>
      </c>
      <c r="S83" s="55" t="s">
        <v>168</v>
      </c>
      <c r="T83" s="55" t="s">
        <v>168</v>
      </c>
      <c r="U83" s="55" t="s">
        <v>168</v>
      </c>
      <c r="V83" s="55" t="s">
        <v>168</v>
      </c>
      <c r="W83" s="55" t="s">
        <v>168</v>
      </c>
      <c r="X83" s="55" t="s">
        <v>168</v>
      </c>
    </row>
    <row r="85" spans="2:24" x14ac:dyDescent="0.25">
      <c r="B85" s="9" t="s">
        <v>66</v>
      </c>
      <c r="C85" s="11"/>
      <c r="D85" s="11"/>
      <c r="E85" s="11"/>
      <c r="F85" s="11"/>
    </row>
    <row r="87" spans="2:24" x14ac:dyDescent="0.25">
      <c r="B87" s="1" t="s">
        <v>68</v>
      </c>
      <c r="C87" s="1" t="s">
        <v>129</v>
      </c>
      <c r="D87" s="5"/>
      <c r="E87" s="5"/>
      <c r="F87" s="5"/>
      <c r="G87" s="4">
        <f t="shared" ref="G87:X87" si="65">(+G37+F37+E37+D37)/(+G38+F38+E38+D38)</f>
        <v>1.042557035136275</v>
      </c>
      <c r="H87" s="4">
        <f t="shared" si="65"/>
        <v>1.0594077712772074</v>
      </c>
      <c r="I87" s="4">
        <f t="shared" si="65"/>
        <v>1.0792554771616139</v>
      </c>
      <c r="J87" s="4">
        <f t="shared" si="65"/>
        <v>1.0670702932542191</v>
      </c>
      <c r="K87" s="4">
        <f t="shared" si="65"/>
        <v>1.0760547986252509</v>
      </c>
      <c r="L87" s="4">
        <f t="shared" si="65"/>
        <v>1.0749908466107245</v>
      </c>
      <c r="M87" s="4">
        <f t="shared" si="65"/>
        <v>1.0678433858445338</v>
      </c>
      <c r="N87" s="4">
        <f t="shared" si="65"/>
        <v>1.0958078094298245</v>
      </c>
      <c r="O87" s="4">
        <f t="shared" si="65"/>
        <v>1.0999260201285321</v>
      </c>
      <c r="P87" s="4">
        <f t="shared" si="65"/>
        <v>1.102161587729215</v>
      </c>
      <c r="Q87" s="4">
        <f t="shared" si="65"/>
        <v>1.0956848495026077</v>
      </c>
      <c r="R87" s="4">
        <f t="shared" si="65"/>
        <v>1.105553031729493</v>
      </c>
      <c r="S87" s="4">
        <f t="shared" si="65"/>
        <v>1.0954494345499719</v>
      </c>
      <c r="T87" s="4">
        <f t="shared" si="65"/>
        <v>1.0938983591134748</v>
      </c>
      <c r="U87" s="4">
        <f t="shared" si="65"/>
        <v>1.1024855534927722</v>
      </c>
      <c r="V87" s="4">
        <f t="shared" si="65"/>
        <v>1.0885388571300545</v>
      </c>
      <c r="W87" s="4">
        <f t="shared" si="65"/>
        <v>1.0896388722880586</v>
      </c>
      <c r="X87" s="4">
        <f t="shared" si="65"/>
        <v>1.1017789394217117</v>
      </c>
    </row>
    <row r="88" spans="2:24" x14ac:dyDescent="0.25">
      <c r="B88" s="1" t="s">
        <v>67</v>
      </c>
      <c r="C88" s="1" t="s">
        <v>129</v>
      </c>
      <c r="D88" s="5"/>
      <c r="E88" s="5"/>
      <c r="F88" s="5"/>
      <c r="G88" s="4">
        <f>+(1+G75)/(+G74+1)</f>
        <v>1.0057929282092986</v>
      </c>
      <c r="H88" s="4">
        <f t="shared" ref="H88:X88" si="66">+(1+H75)/(+H74+1)</f>
        <v>1.0080698949323716</v>
      </c>
      <c r="I88" s="4">
        <f t="shared" si="66"/>
        <v>1.011443641587233</v>
      </c>
      <c r="J88" s="4">
        <f t="shared" si="66"/>
        <v>1.0108546911378793</v>
      </c>
      <c r="K88" s="4">
        <f t="shared" si="66"/>
        <v>1.0128709045220128</v>
      </c>
      <c r="L88" s="4">
        <f t="shared" si="66"/>
        <v>1.0122163675899583</v>
      </c>
      <c r="M88" s="4">
        <f t="shared" si="66"/>
        <v>1.0115423612589152</v>
      </c>
      <c r="N88" s="4">
        <f t="shared" si="66"/>
        <v>1.0137893410119971</v>
      </c>
      <c r="O88" s="4">
        <f t="shared" si="66"/>
        <v>1.0146689683368686</v>
      </c>
      <c r="P88" s="4">
        <f t="shared" si="66"/>
        <v>1.0138634430983515</v>
      </c>
      <c r="Q88" s="4">
        <f t="shared" si="66"/>
        <v>1.0149901836860142</v>
      </c>
      <c r="R88" s="4">
        <f t="shared" si="66"/>
        <v>1.0165457429249749</v>
      </c>
      <c r="S88" s="4">
        <f t="shared" si="66"/>
        <v>1.0171126353533371</v>
      </c>
      <c r="T88" s="4">
        <f t="shared" si="66"/>
        <v>1.0151881235378195</v>
      </c>
      <c r="U88" s="4">
        <f t="shared" si="66"/>
        <v>1.0171416396413848</v>
      </c>
      <c r="V88" s="4">
        <f t="shared" si="66"/>
        <v>1.0137155164039027</v>
      </c>
      <c r="W88" s="4">
        <f t="shared" si="66"/>
        <v>1.0156992329760262</v>
      </c>
      <c r="X88" s="4">
        <f t="shared" si="66"/>
        <v>1.0151001221331</v>
      </c>
    </row>
    <row r="89" spans="2:24" x14ac:dyDescent="0.25">
      <c r="B89" s="1" t="s">
        <v>71</v>
      </c>
      <c r="C89" s="1" t="s">
        <v>129</v>
      </c>
      <c r="D89" s="5"/>
      <c r="E89" s="5"/>
      <c r="F89" s="5"/>
      <c r="G89" s="4">
        <f>+G88*G87</f>
        <v>1.0485964931949185</v>
      </c>
      <c r="H89" s="4">
        <f t="shared" ref="H89:X89" si="67">+H88*H87</f>
        <v>1.0679570806819525</v>
      </c>
      <c r="I89" s="4">
        <f t="shared" si="67"/>
        <v>1.0916060900233095</v>
      </c>
      <c r="J89" s="4">
        <f t="shared" si="67"/>
        <v>1.0786530117099</v>
      </c>
      <c r="K89" s="4">
        <f t="shared" si="67"/>
        <v>1.0899045971988102</v>
      </c>
      <c r="L89" s="4">
        <f t="shared" si="67"/>
        <v>1.0881233299487616</v>
      </c>
      <c r="M89" s="4">
        <f t="shared" si="67"/>
        <v>1.0801688199718944</v>
      </c>
      <c r="N89" s="4">
        <f t="shared" si="67"/>
        <v>1.110918276997662</v>
      </c>
      <c r="O89" s="4">
        <f t="shared" si="67"/>
        <v>1.1160608000906955</v>
      </c>
      <c r="P89" s="4">
        <f t="shared" si="67"/>
        <v>1.1174413421858878</v>
      </c>
      <c r="Q89" s="4">
        <f t="shared" si="67"/>
        <v>1.1121093666586346</v>
      </c>
      <c r="R89" s="4">
        <f t="shared" si="67"/>
        <v>1.1238452279824158</v>
      </c>
      <c r="S89" s="4">
        <f t="shared" si="67"/>
        <v>1.1141954612714449</v>
      </c>
      <c r="T89" s="4">
        <f t="shared" si="67"/>
        <v>1.1105126225295083</v>
      </c>
      <c r="U89" s="4">
        <f t="shared" si="67"/>
        <v>1.121383963560578</v>
      </c>
      <c r="V89" s="4">
        <f t="shared" si="67"/>
        <v>1.1034687296813073</v>
      </c>
      <c r="W89" s="4">
        <f t="shared" si="67"/>
        <v>1.1067453668038432</v>
      </c>
      <c r="X89" s="4">
        <f t="shared" si="67"/>
        <v>1.1184159359706569</v>
      </c>
    </row>
    <row r="91" spans="2:24" x14ac:dyDescent="0.25">
      <c r="B91" s="9" t="s">
        <v>72</v>
      </c>
      <c r="C91" s="11"/>
      <c r="D91" s="11"/>
      <c r="E91" s="11"/>
      <c r="F91" s="11"/>
    </row>
    <row r="93" spans="2:24" x14ac:dyDescent="0.25">
      <c r="B93" s="1" t="s">
        <v>73</v>
      </c>
      <c r="C93" s="1" t="s">
        <v>150</v>
      </c>
      <c r="D93" s="5"/>
      <c r="E93" s="5"/>
      <c r="F93" s="5"/>
      <c r="G93" s="4">
        <f t="shared" ref="G93:X93" si="68">+G22/G48/1000</f>
        <v>20.442762323305544</v>
      </c>
      <c r="H93" s="4">
        <f t="shared" si="68"/>
        <v>20.890571765132297</v>
      </c>
      <c r="I93" s="4">
        <f t="shared" si="68"/>
        <v>20.910576748822038</v>
      </c>
      <c r="J93" s="4">
        <f t="shared" si="68"/>
        <v>21.084550561797755</v>
      </c>
      <c r="K93" s="4">
        <f t="shared" si="68"/>
        <v>21.231940920623416</v>
      </c>
      <c r="L93" s="4">
        <f t="shared" si="68"/>
        <v>21.733170985864444</v>
      </c>
      <c r="M93" s="4">
        <f t="shared" si="68"/>
        <v>21.683306904675607</v>
      </c>
      <c r="N93" s="4">
        <f t="shared" si="68"/>
        <v>22.139670170351575</v>
      </c>
      <c r="O93" s="4">
        <f t="shared" si="68"/>
        <v>22.373303280173975</v>
      </c>
      <c r="P93" s="4">
        <f t="shared" si="68"/>
        <v>22.947231786879303</v>
      </c>
      <c r="Q93" s="4">
        <f t="shared" si="68"/>
        <v>22.876585719463577</v>
      </c>
      <c r="R93" s="4">
        <f t="shared" si="68"/>
        <v>23.571178416092788</v>
      </c>
      <c r="S93" s="4">
        <f t="shared" si="68"/>
        <v>23.739946538600943</v>
      </c>
      <c r="T93" s="4">
        <f t="shared" si="68"/>
        <v>24.324571855744836</v>
      </c>
      <c r="U93" s="4">
        <f t="shared" si="68"/>
        <v>24.307654494382021</v>
      </c>
      <c r="V93" s="4">
        <f t="shared" si="68"/>
        <v>24.734124682856109</v>
      </c>
      <c r="W93" s="4">
        <f t="shared" si="68"/>
        <v>24.77865168539326</v>
      </c>
      <c r="X93" s="4">
        <f t="shared" si="68"/>
        <v>25.462989307720189</v>
      </c>
    </row>
    <row r="94" spans="2:24" x14ac:dyDescent="0.25">
      <c r="B94" s="1" t="s">
        <v>74</v>
      </c>
      <c r="C94" s="1" t="s">
        <v>150</v>
      </c>
      <c r="D94" s="5"/>
      <c r="E94" s="5"/>
      <c r="F94" s="5"/>
      <c r="G94" s="43">
        <f>(+G44+F44+E44+D44)/((+G48+G48)/2)/1000</f>
        <v>0.48786018484958316</v>
      </c>
      <c r="H94" s="43">
        <f t="shared" ref="H94:X94" si="69">(+H44+G44+F44+E44)/((+H48+H48)/2)/1000</f>
        <v>0.77665372322404846</v>
      </c>
      <c r="I94" s="43">
        <f t="shared" si="69"/>
        <v>1.0773927113332131</v>
      </c>
      <c r="J94" s="43">
        <f t="shared" si="69"/>
        <v>1.06747713331496</v>
      </c>
      <c r="K94" s="43">
        <f t="shared" si="69"/>
        <v>1.1634401051105474</v>
      </c>
      <c r="L94" s="43">
        <f t="shared" si="69"/>
        <v>1.2015834541500545</v>
      </c>
      <c r="M94" s="43">
        <f t="shared" si="69"/>
        <v>1.1011689017760058</v>
      </c>
      <c r="N94" s="43">
        <f t="shared" si="69"/>
        <v>1.3922730155853569</v>
      </c>
      <c r="O94" s="43">
        <f t="shared" si="69"/>
        <v>1.4481288510329831</v>
      </c>
      <c r="P94" s="43">
        <f t="shared" si="69"/>
        <v>1.5122123051830374</v>
      </c>
      <c r="Q94" s="43">
        <f t="shared" si="69"/>
        <v>1.5612880572671259</v>
      </c>
      <c r="R94" s="43">
        <f t="shared" si="69"/>
        <v>1.8421869336716201</v>
      </c>
      <c r="S94" s="43">
        <f t="shared" si="69"/>
        <v>1.7970550924247917</v>
      </c>
      <c r="T94" s="43">
        <f t="shared" si="69"/>
        <v>1.8031193367162015</v>
      </c>
      <c r="U94" s="43">
        <f t="shared" si="69"/>
        <v>1.8950095143167813</v>
      </c>
      <c r="V94" s="43">
        <f t="shared" si="69"/>
        <v>1.628667542587894</v>
      </c>
      <c r="W94" s="43">
        <f t="shared" si="69"/>
        <v>1.6247191011235955</v>
      </c>
      <c r="X94" s="43">
        <f t="shared" si="69"/>
        <v>1.757645433127945</v>
      </c>
    </row>
    <row r="95" spans="2:24" x14ac:dyDescent="0.25">
      <c r="B95" s="1" t="s">
        <v>75</v>
      </c>
      <c r="C95" s="1" t="s">
        <v>124</v>
      </c>
      <c r="D95" s="5"/>
      <c r="E95" s="5"/>
      <c r="F95" s="5"/>
      <c r="G95" s="4" t="s">
        <v>155</v>
      </c>
      <c r="H95" s="4">
        <f t="shared" ref="H95:X95" si="70">+H48*H54*1000</f>
        <v>6290519.9999999991</v>
      </c>
      <c r="I95" s="4">
        <f t="shared" si="70"/>
        <v>7672227.1999999993</v>
      </c>
      <c r="J95" s="4">
        <f t="shared" si="70"/>
        <v>10285552</v>
      </c>
      <c r="K95" s="4">
        <f t="shared" si="70"/>
        <v>9446815.9999999981</v>
      </c>
      <c r="L95" s="4">
        <f t="shared" si="70"/>
        <v>8268171.2000000011</v>
      </c>
      <c r="M95" s="4">
        <f t="shared" si="70"/>
        <v>7769344.0000000009</v>
      </c>
      <c r="N95" s="4">
        <f t="shared" si="70"/>
        <v>9248168</v>
      </c>
      <c r="O95" s="4">
        <f t="shared" si="70"/>
        <v>10462127.999999998</v>
      </c>
      <c r="P95" s="4">
        <f t="shared" si="70"/>
        <v>9358528</v>
      </c>
      <c r="Q95" s="4">
        <f t="shared" si="70"/>
        <v>7945920</v>
      </c>
      <c r="R95" s="4">
        <f t="shared" si="70"/>
        <v>7107184</v>
      </c>
      <c r="S95" s="4">
        <f t="shared" si="70"/>
        <v>7945920</v>
      </c>
      <c r="T95" s="4">
        <f t="shared" si="70"/>
        <v>7526552.0000000009</v>
      </c>
      <c r="U95" s="4">
        <f t="shared" si="70"/>
        <v>7005652.7999999998</v>
      </c>
      <c r="V95" s="4">
        <f t="shared" si="70"/>
        <v>7217544.0000000009</v>
      </c>
      <c r="W95" s="4">
        <f t="shared" si="70"/>
        <v>6943851.2000000002</v>
      </c>
      <c r="X95" s="4">
        <f t="shared" si="70"/>
        <v>6555384</v>
      </c>
    </row>
    <row r="96" spans="2:24" x14ac:dyDescent="0.25">
      <c r="B96" s="1" t="s">
        <v>77</v>
      </c>
      <c r="C96" s="1" t="s">
        <v>129</v>
      </c>
      <c r="D96" s="5"/>
      <c r="E96" s="5"/>
      <c r="F96" s="5"/>
      <c r="G96" s="4" t="s">
        <v>155</v>
      </c>
      <c r="H96" s="4">
        <f t="shared" ref="H96:X96" si="71">+H54/H93</f>
        <v>0.6821258968021241</v>
      </c>
      <c r="I96" s="4">
        <f t="shared" si="71"/>
        <v>0.83115832761423336</v>
      </c>
      <c r="J96" s="4">
        <f t="shared" si="71"/>
        <v>1.105074539374642</v>
      </c>
      <c r="K96" s="4">
        <f t="shared" si="71"/>
        <v>1.0079153893657147</v>
      </c>
      <c r="L96" s="4">
        <f t="shared" si="71"/>
        <v>0.86181625369727466</v>
      </c>
      <c r="M96" s="4">
        <f t="shared" si="71"/>
        <v>0.81168430984135931</v>
      </c>
      <c r="N96" s="4">
        <f t="shared" si="71"/>
        <v>0.94626522612135711</v>
      </c>
      <c r="O96" s="4">
        <f t="shared" si="71"/>
        <v>1.0592982047939998</v>
      </c>
      <c r="P96" s="4">
        <f t="shared" si="71"/>
        <v>0.92385871188705515</v>
      </c>
      <c r="Q96" s="4">
        <f t="shared" si="71"/>
        <v>0.78683070195590676</v>
      </c>
      <c r="R96" s="4">
        <f t="shared" si="71"/>
        <v>0.6830375518691939</v>
      </c>
      <c r="S96" s="4">
        <f t="shared" si="71"/>
        <v>0.75821569230293584</v>
      </c>
      <c r="T96" s="4">
        <f t="shared" si="71"/>
        <v>0.70093731150187666</v>
      </c>
      <c r="U96" s="4">
        <f t="shared" si="71"/>
        <v>0.65288076246385141</v>
      </c>
      <c r="V96" s="4">
        <f t="shared" si="71"/>
        <v>0.66103006310680679</v>
      </c>
      <c r="W96" s="4">
        <f t="shared" si="71"/>
        <v>0.63482065932072729</v>
      </c>
      <c r="X96" s="4">
        <f t="shared" si="71"/>
        <v>0.58319939660413678</v>
      </c>
    </row>
    <row r="97" spans="2:24" x14ac:dyDescent="0.25">
      <c r="B97" s="28" t="s">
        <v>152</v>
      </c>
      <c r="C97" s="1" t="s">
        <v>129</v>
      </c>
      <c r="D97" s="5"/>
      <c r="E97" s="5"/>
      <c r="F97" s="5"/>
      <c r="G97" s="55" t="s">
        <v>155</v>
      </c>
      <c r="H97" s="55" t="s">
        <v>155</v>
      </c>
      <c r="I97" s="55" t="s">
        <v>155</v>
      </c>
      <c r="J97" s="55" t="s">
        <v>155</v>
      </c>
      <c r="K97" s="55" t="s">
        <v>155</v>
      </c>
      <c r="L97" s="4">
        <f t="shared" ref="L97:X97" si="72">+L55/+L94</f>
        <v>16.003882155320145</v>
      </c>
      <c r="M97" s="4">
        <f t="shared" si="72"/>
        <v>17.86283645340465</v>
      </c>
      <c r="N97" s="4">
        <f t="shared" si="72"/>
        <v>13.689843720763744</v>
      </c>
      <c r="O97" s="4">
        <f t="shared" si="72"/>
        <v>13.804020260863306</v>
      </c>
      <c r="P97" s="4">
        <f t="shared" si="72"/>
        <v>13.787746554195859</v>
      </c>
      <c r="Q97" s="4">
        <f t="shared" si="72"/>
        <v>13.540102290286775</v>
      </c>
      <c r="R97" s="4">
        <f t="shared" si="72"/>
        <v>11.171504706627397</v>
      </c>
      <c r="S97" s="4">
        <f t="shared" si="72"/>
        <v>10.711969867337626</v>
      </c>
      <c r="T97" s="4">
        <f t="shared" si="72"/>
        <v>10.01597599906529</v>
      </c>
      <c r="U97" s="4">
        <f t="shared" si="72"/>
        <v>9.1081336898843208</v>
      </c>
      <c r="V97" s="4">
        <f t="shared" si="72"/>
        <v>10.407280526427794</v>
      </c>
      <c r="W97" s="4">
        <f t="shared" si="72"/>
        <v>10.069432918395574</v>
      </c>
      <c r="X97" s="4">
        <f t="shared" si="72"/>
        <v>8.9551622320030422</v>
      </c>
    </row>
    <row r="98" spans="2:24" x14ac:dyDescent="0.25">
      <c r="B98" s="1" t="s">
        <v>76</v>
      </c>
      <c r="C98" s="1" t="s">
        <v>142</v>
      </c>
      <c r="D98" s="5"/>
      <c r="E98" s="5"/>
      <c r="F98" s="5"/>
      <c r="G98" s="4">
        <v>0</v>
      </c>
      <c r="H98" s="4">
        <v>0</v>
      </c>
      <c r="I98" s="4">
        <v>0</v>
      </c>
      <c r="J98" s="43">
        <f>+J50/G94</f>
        <v>0.94289309577871583</v>
      </c>
      <c r="K98" s="4">
        <f t="shared" ref="K98:M98" si="73">+J98</f>
        <v>0.94289309577871583</v>
      </c>
      <c r="L98" s="4">
        <f t="shared" si="73"/>
        <v>0.94289309577871583</v>
      </c>
      <c r="M98" s="4">
        <f t="shared" si="73"/>
        <v>0.94289309577871583</v>
      </c>
      <c r="N98" s="43">
        <f>+N50/K94</f>
        <v>0.32661758721467943</v>
      </c>
      <c r="O98" s="4">
        <f t="shared" ref="O98:Q99" si="74">+N98</f>
        <v>0.32661758721467943</v>
      </c>
      <c r="P98" s="4">
        <f t="shared" si="74"/>
        <v>0.32661758721467943</v>
      </c>
      <c r="Q98" s="4">
        <f t="shared" si="74"/>
        <v>0.32661758721467943</v>
      </c>
      <c r="R98" s="43">
        <f>+R50/O94</f>
        <v>0.30384036592195374</v>
      </c>
      <c r="S98" s="4">
        <f t="shared" ref="S98:U99" si="75">+R98</f>
        <v>0.30384036592195374</v>
      </c>
      <c r="T98" s="4">
        <f t="shared" si="75"/>
        <v>0.30384036592195374</v>
      </c>
      <c r="U98" s="4">
        <f t="shared" si="75"/>
        <v>0.30384036592195374</v>
      </c>
      <c r="V98" s="43">
        <f>+V50/S94</f>
        <v>0.26710366422452259</v>
      </c>
      <c r="W98" s="4">
        <f>+V98</f>
        <v>0.26710366422452259</v>
      </c>
      <c r="X98" s="4">
        <f>+W98</f>
        <v>0.26710366422452259</v>
      </c>
    </row>
    <row r="99" spans="2:24" x14ac:dyDescent="0.25">
      <c r="B99" s="1" t="s">
        <v>153</v>
      </c>
      <c r="C99" s="1" t="s">
        <v>142</v>
      </c>
      <c r="D99" s="5"/>
      <c r="E99" s="5"/>
      <c r="F99" s="5"/>
      <c r="G99" s="4">
        <v>0</v>
      </c>
      <c r="H99" s="55" t="s">
        <v>155</v>
      </c>
      <c r="I99" s="55" t="s">
        <v>155</v>
      </c>
      <c r="J99" s="55" t="s">
        <v>155</v>
      </c>
      <c r="K99" s="55" t="s">
        <v>155</v>
      </c>
      <c r="L99" s="55" t="s">
        <v>155</v>
      </c>
      <c r="M99" s="55" t="s">
        <v>155</v>
      </c>
      <c r="N99" s="43">
        <f>+O50/O55</f>
        <v>1.9009504752376189E-2</v>
      </c>
      <c r="O99" s="4">
        <f t="shared" si="74"/>
        <v>1.9009504752376189E-2</v>
      </c>
      <c r="P99" s="4">
        <f t="shared" si="74"/>
        <v>1.9009504752376189E-2</v>
      </c>
      <c r="Q99" s="4">
        <f t="shared" si="74"/>
        <v>1.9009504752376189E-2</v>
      </c>
      <c r="R99" s="43">
        <f>+S50/S55</f>
        <v>2.2857142857142857E-2</v>
      </c>
      <c r="S99" s="4">
        <f t="shared" si="75"/>
        <v>2.2857142857142857E-2</v>
      </c>
      <c r="T99" s="4">
        <f t="shared" si="75"/>
        <v>2.2857142857142857E-2</v>
      </c>
      <c r="U99" s="4">
        <f t="shared" si="75"/>
        <v>2.2857142857142857E-2</v>
      </c>
      <c r="V99" s="43">
        <f>+W50/W55</f>
        <v>2.9339853300733496E-2</v>
      </c>
      <c r="W99" s="4">
        <f>+V99</f>
        <v>2.9339853300733496E-2</v>
      </c>
      <c r="X99" s="4">
        <f>+W99</f>
        <v>2.9339853300733496E-2</v>
      </c>
    </row>
    <row r="100" spans="2:24" x14ac:dyDescent="0.25">
      <c r="B100" s="28" t="s">
        <v>154</v>
      </c>
      <c r="C100" s="28" t="s">
        <v>142</v>
      </c>
      <c r="D100" s="5"/>
      <c r="E100" s="5"/>
      <c r="F100" s="5"/>
      <c r="G100" s="55" t="s">
        <v>155</v>
      </c>
      <c r="H100" s="4">
        <f t="shared" ref="H100:I100" si="76">+H50/H54</f>
        <v>0</v>
      </c>
      <c r="I100" s="4">
        <f t="shared" si="76"/>
        <v>0</v>
      </c>
      <c r="J100" s="4">
        <f t="shared" ref="J100:X100" si="77">+J50/J54</f>
        <v>1.9742489270386267E-2</v>
      </c>
      <c r="K100" s="4">
        <f t="shared" si="77"/>
        <v>2.1495327102803739E-2</v>
      </c>
      <c r="L100" s="4">
        <f t="shared" si="77"/>
        <v>2.4559530165509876E-2</v>
      </c>
      <c r="M100" s="4">
        <f t="shared" si="77"/>
        <v>2.6136363636363635E-2</v>
      </c>
      <c r="N100" s="4">
        <f t="shared" si="77"/>
        <v>1.8138424821002388E-2</v>
      </c>
      <c r="O100" s="4">
        <f t="shared" si="77"/>
        <v>1.6033755274261603E-2</v>
      </c>
      <c r="P100" s="4">
        <f t="shared" si="77"/>
        <v>1.7924528301886792E-2</v>
      </c>
      <c r="Q100" s="4">
        <f t="shared" si="77"/>
        <v>2.1111111111111112E-2</v>
      </c>
      <c r="R100" s="4">
        <f t="shared" si="77"/>
        <v>2.732919254658385E-2</v>
      </c>
      <c r="S100" s="4">
        <f t="shared" si="77"/>
        <v>2.4444444444444446E-2</v>
      </c>
      <c r="T100" s="4">
        <f t="shared" si="77"/>
        <v>2.5806451612903226E-2</v>
      </c>
      <c r="U100" s="4">
        <f t="shared" si="77"/>
        <v>2.7725267800882167E-2</v>
      </c>
      <c r="V100" s="4">
        <f t="shared" si="77"/>
        <v>2.9357798165137609E-2</v>
      </c>
      <c r="W100" s="4">
        <f t="shared" si="77"/>
        <v>3.0514939605848695E-2</v>
      </c>
      <c r="X100" s="4">
        <f t="shared" si="77"/>
        <v>3.2323232323232323E-2</v>
      </c>
    </row>
    <row r="102" spans="2:24" ht="30" x14ac:dyDescent="0.25">
      <c r="B102" s="12" t="s">
        <v>78</v>
      </c>
      <c r="C102" s="32"/>
      <c r="D102" s="32"/>
      <c r="E102" s="32"/>
      <c r="F102" s="32"/>
    </row>
    <row r="104" spans="2:24" x14ac:dyDescent="0.25">
      <c r="B104" s="6" t="s">
        <v>79</v>
      </c>
      <c r="C104" s="6"/>
      <c r="D104" s="35"/>
      <c r="E104" s="35"/>
      <c r="F104" s="35"/>
      <c r="G104" s="45">
        <f>(+G61/G14)*1.2</f>
        <v>0.23409783331554856</v>
      </c>
      <c r="H104" s="45">
        <f t="shared" ref="H104:X104" si="78">+H61/H14</f>
        <v>0.21704036369023363</v>
      </c>
      <c r="I104" s="45">
        <f t="shared" si="78"/>
        <v>0.2081598481091127</v>
      </c>
      <c r="J104" s="45">
        <f t="shared" si="78"/>
        <v>0.21486568971969275</v>
      </c>
      <c r="K104" s="45">
        <f t="shared" si="78"/>
        <v>0.20019578586142181</v>
      </c>
      <c r="L104" s="45">
        <f t="shared" si="78"/>
        <v>0.21989387125974394</v>
      </c>
      <c r="M104" s="45">
        <f t="shared" si="78"/>
        <v>0.21662706579920207</v>
      </c>
      <c r="N104" s="45">
        <f t="shared" si="78"/>
        <v>0.22617104511735034</v>
      </c>
      <c r="O104" s="45">
        <f t="shared" si="78"/>
        <v>0.19573395197599383</v>
      </c>
      <c r="P104" s="45">
        <f t="shared" si="78"/>
        <v>0.21817168811478069</v>
      </c>
      <c r="Q104" s="45">
        <f t="shared" si="78"/>
        <v>0.18900266031666191</v>
      </c>
      <c r="R104" s="45">
        <f t="shared" si="78"/>
        <v>0.19001702019575778</v>
      </c>
      <c r="S104" s="45">
        <f t="shared" si="78"/>
        <v>0.15552273616131629</v>
      </c>
      <c r="T104" s="45">
        <f t="shared" si="78"/>
        <v>0.16564494244679986</v>
      </c>
      <c r="U104" s="45">
        <f t="shared" si="78"/>
        <v>0.15896305597793706</v>
      </c>
      <c r="V104" s="45">
        <f t="shared" si="78"/>
        <v>0.16488586042980824</v>
      </c>
      <c r="W104" s="45">
        <f t="shared" si="78"/>
        <v>0.11388425462096295</v>
      </c>
      <c r="X104" s="45">
        <f t="shared" si="78"/>
        <v>0.12639172803317658</v>
      </c>
    </row>
    <row r="105" spans="2:24" x14ac:dyDescent="0.25">
      <c r="B105" s="6" t="s">
        <v>156</v>
      </c>
      <c r="C105" s="6"/>
      <c r="D105" s="35"/>
      <c r="E105" s="35"/>
      <c r="F105" s="35"/>
      <c r="G105" s="45">
        <f>(+(+G22-G43-F43-E43-D43)/+G14)*1.4</f>
        <v>1.0289108793261295</v>
      </c>
      <c r="H105" s="45">
        <f t="shared" ref="H105:X105" si="79">+(+H22-H43-G43-F43-E43)/+H14</f>
        <v>0.74403679590960015</v>
      </c>
      <c r="I105" s="45">
        <f t="shared" si="79"/>
        <v>0.72172899589963424</v>
      </c>
      <c r="J105" s="45">
        <f t="shared" si="79"/>
        <v>0.73208876783157084</v>
      </c>
      <c r="K105" s="45">
        <f t="shared" si="79"/>
        <v>0.72438626398318584</v>
      </c>
      <c r="L105" s="45">
        <f t="shared" si="79"/>
        <v>0.73445626444014578</v>
      </c>
      <c r="M105" s="45">
        <f t="shared" si="79"/>
        <v>0.73833984841961409</v>
      </c>
      <c r="N105" s="45">
        <f t="shared" si="79"/>
        <v>0.73338947525532916</v>
      </c>
      <c r="O105" s="45">
        <f t="shared" si="79"/>
        <v>0.71958419236089011</v>
      </c>
      <c r="P105" s="45">
        <f t="shared" si="79"/>
        <v>0.73869296912953264</v>
      </c>
      <c r="Q105" s="45">
        <f t="shared" si="79"/>
        <v>0.71845560994075652</v>
      </c>
      <c r="R105" s="45">
        <f t="shared" si="79"/>
        <v>0.71996824137754001</v>
      </c>
      <c r="S105" s="45">
        <f t="shared" si="79"/>
        <v>0.70710335423033199</v>
      </c>
      <c r="T105" s="45">
        <f t="shared" si="79"/>
        <v>0.72831482085363375</v>
      </c>
      <c r="U105" s="45">
        <f t="shared" si="79"/>
        <v>0.71437966660580909</v>
      </c>
      <c r="V105" s="45">
        <f t="shared" si="79"/>
        <v>0.7375527319391979</v>
      </c>
      <c r="W105" s="45">
        <f t="shared" si="79"/>
        <v>0.69478980333860352</v>
      </c>
      <c r="X105" s="45">
        <f t="shared" si="79"/>
        <v>0.71094332094882851</v>
      </c>
    </row>
    <row r="106" spans="2:24" x14ac:dyDescent="0.25">
      <c r="B106" s="6" t="s">
        <v>80</v>
      </c>
      <c r="C106" s="6"/>
      <c r="D106" s="35"/>
      <c r="E106" s="35"/>
      <c r="F106" s="35"/>
      <c r="G106" s="45">
        <f>((+G39+F39+E39+D39)/+G14)*3.3</f>
        <v>6.9204942767415858E-2</v>
      </c>
      <c r="H106" s="45">
        <f t="shared" ref="H106:X106" si="80">(+H39+G39+F39+E39)/+H14</f>
        <v>3.0116511182400867E-2</v>
      </c>
      <c r="I106" s="45">
        <f t="shared" si="80"/>
        <v>4.0041128642987568E-2</v>
      </c>
      <c r="J106" s="45">
        <f t="shared" si="80"/>
        <v>3.5126213472912442E-2</v>
      </c>
      <c r="K106" s="45">
        <f t="shared" si="80"/>
        <v>4.1342428359578756E-2</v>
      </c>
      <c r="L106" s="45">
        <f t="shared" si="80"/>
        <v>4.1213300453089331E-2</v>
      </c>
      <c r="M106" s="45">
        <f t="shared" si="80"/>
        <v>3.86167375549012E-2</v>
      </c>
      <c r="N106" s="45">
        <f t="shared" si="80"/>
        <v>5.4199642105256414E-2</v>
      </c>
      <c r="O106" s="45">
        <f t="shared" si="80"/>
        <v>5.5463142605520654E-2</v>
      </c>
      <c r="P106" s="45">
        <f t="shared" si="80"/>
        <v>5.9970408480227291E-2</v>
      </c>
      <c r="Q106" s="45">
        <f t="shared" si="80"/>
        <v>5.7773682281243487E-2</v>
      </c>
      <c r="R106" s="45">
        <f t="shared" si="80"/>
        <v>6.5764787439702002E-2</v>
      </c>
      <c r="S106" s="45">
        <f t="shared" si="80"/>
        <v>6.1622666569536959E-2</v>
      </c>
      <c r="T106" s="45">
        <f t="shared" si="80"/>
        <v>6.200955552762398E-2</v>
      </c>
      <c r="U106" s="45">
        <f t="shared" si="80"/>
        <v>6.7585565734823633E-2</v>
      </c>
      <c r="V106" s="45">
        <f t="shared" si="80"/>
        <v>5.9427187449165871E-2</v>
      </c>
      <c r="W106" s="45">
        <f t="shared" si="80"/>
        <v>5.7547274857852868E-2</v>
      </c>
      <c r="X106" s="45">
        <f t="shared" si="80"/>
        <v>6.3269142362738479E-2</v>
      </c>
    </row>
    <row r="107" spans="2:24" x14ac:dyDescent="0.25">
      <c r="B107" s="6" t="s">
        <v>81</v>
      </c>
      <c r="C107" s="6"/>
      <c r="D107" s="35"/>
      <c r="E107" s="35"/>
      <c r="F107" s="35"/>
      <c r="G107" s="57" t="s">
        <v>155</v>
      </c>
      <c r="H107" s="45">
        <f t="shared" ref="H107:X107" si="81">+H95/+H18</f>
        <v>2.2905661600285181</v>
      </c>
      <c r="I107" s="45">
        <f t="shared" si="81"/>
        <v>2.6048662567088936</v>
      </c>
      <c r="J107" s="45">
        <f t="shared" si="81"/>
        <v>3.6485776454404273</v>
      </c>
      <c r="K107" s="45">
        <f t="shared" si="81"/>
        <v>3.3064814879631501</v>
      </c>
      <c r="L107" s="45">
        <f t="shared" si="81"/>
        <v>3.0111638737741</v>
      </c>
      <c r="M107" s="45">
        <f t="shared" si="81"/>
        <v>2.8423663215906014</v>
      </c>
      <c r="N107" s="45">
        <f t="shared" si="81"/>
        <v>3.4060072508923667</v>
      </c>
      <c r="O107" s="45">
        <f t="shared" si="81"/>
        <v>3.5342233080222707</v>
      </c>
      <c r="P107" s="45">
        <f t="shared" si="81"/>
        <v>3.4920857859828165</v>
      </c>
      <c r="Q107" s="45">
        <f t="shared" si="81"/>
        <v>2.6498121002189969</v>
      </c>
      <c r="R107" s="45">
        <f t="shared" si="81"/>
        <v>2.4358565805325023</v>
      </c>
      <c r="S107" s="45">
        <f t="shared" si="81"/>
        <v>2.4675758633497011</v>
      </c>
      <c r="T107" s="45">
        <f t="shared" si="81"/>
        <v>2.5823858246130742</v>
      </c>
      <c r="U107" s="45">
        <f t="shared" si="81"/>
        <v>2.2442218833689984</v>
      </c>
      <c r="V107" s="45">
        <f t="shared" si="81"/>
        <v>2.477600975998913</v>
      </c>
      <c r="W107" s="45">
        <f t="shared" si="81"/>
        <v>1.8408088280127057</v>
      </c>
      <c r="X107" s="45">
        <f t="shared" si="81"/>
        <v>1.885100440779969</v>
      </c>
    </row>
    <row r="108" spans="2:24" ht="30" x14ac:dyDescent="0.25">
      <c r="B108" s="47" t="s">
        <v>159</v>
      </c>
      <c r="C108" s="6"/>
      <c r="D108" s="35"/>
      <c r="E108" s="35"/>
      <c r="F108" s="35"/>
      <c r="G108" s="45">
        <f>(+G22/G18)*0.6</f>
        <v>1.8282127209568673</v>
      </c>
      <c r="H108" s="45">
        <f t="shared" ref="H108:X108" si="82">+H22/H18</f>
        <v>3.3579815262357382</v>
      </c>
      <c r="I108" s="45">
        <f t="shared" si="82"/>
        <v>3.1340193199843549</v>
      </c>
      <c r="J108" s="45">
        <f t="shared" si="82"/>
        <v>3.3016575040314886</v>
      </c>
      <c r="K108" s="45">
        <f t="shared" si="82"/>
        <v>3.2805149349331129</v>
      </c>
      <c r="L108" s="45">
        <f t="shared" si="82"/>
        <v>3.4939743371698051</v>
      </c>
      <c r="M108" s="45">
        <f t="shared" si="82"/>
        <v>3.5018125731001639</v>
      </c>
      <c r="N108" s="45">
        <f t="shared" si="82"/>
        <v>3.5994213428440527</v>
      </c>
      <c r="O108" s="45">
        <f t="shared" si="82"/>
        <v>3.3363818535967087</v>
      </c>
      <c r="P108" s="45">
        <f t="shared" si="82"/>
        <v>3.7798916014440702</v>
      </c>
      <c r="Q108" s="45">
        <f t="shared" si="82"/>
        <v>3.3677029806184269</v>
      </c>
      <c r="R108" s="45">
        <f t="shared" si="82"/>
        <v>3.5662118047046767</v>
      </c>
      <c r="S108" s="45">
        <f t="shared" si="82"/>
        <v>3.2544510597702208</v>
      </c>
      <c r="T108" s="45">
        <f t="shared" si="82"/>
        <v>3.684189416425665</v>
      </c>
      <c r="U108" s="45">
        <f t="shared" si="82"/>
        <v>3.4374146282082494</v>
      </c>
      <c r="V108" s="45">
        <f t="shared" si="82"/>
        <v>3.74809122047236</v>
      </c>
      <c r="W108" s="45">
        <f t="shared" si="82"/>
        <v>2.8997305002367337</v>
      </c>
      <c r="X108" s="45">
        <f t="shared" si="82"/>
        <v>3.2323429203743408</v>
      </c>
    </row>
    <row r="109" spans="2:24" x14ac:dyDescent="0.25">
      <c r="B109" s="6" t="s">
        <v>82</v>
      </c>
      <c r="C109" s="6"/>
      <c r="D109" s="35"/>
      <c r="E109" s="35"/>
      <c r="F109" s="35"/>
      <c r="G109" s="45">
        <f>(+(+G37+F37+E37+D37)/+G14)*0.999</f>
        <v>0.51323601172943223</v>
      </c>
      <c r="H109" s="45">
        <f t="shared" ref="H109:X109" si="83">+(+H37+G37+F37+E37)/+H14</f>
        <v>0.53706216046238642</v>
      </c>
      <c r="I109" s="45">
        <f t="shared" si="83"/>
        <v>0.54525704654526275</v>
      </c>
      <c r="J109" s="45">
        <f t="shared" si="83"/>
        <v>0.55884859142304655</v>
      </c>
      <c r="K109" s="45">
        <f t="shared" si="83"/>
        <v>0.58492980360578295</v>
      </c>
      <c r="L109" s="45">
        <f t="shared" si="83"/>
        <v>0.59079104648156811</v>
      </c>
      <c r="M109" s="45">
        <f t="shared" si="83"/>
        <v>0.6078208990835321</v>
      </c>
      <c r="N109" s="45">
        <f t="shared" si="83"/>
        <v>0.61991179467206381</v>
      </c>
      <c r="O109" s="45">
        <f t="shared" si="83"/>
        <v>0.6105051880525415</v>
      </c>
      <c r="P109" s="45">
        <f t="shared" si="83"/>
        <v>0.64698564398324365</v>
      </c>
      <c r="Q109" s="45">
        <f t="shared" si="83"/>
        <v>0.6615650095557768</v>
      </c>
      <c r="R109" s="45">
        <f t="shared" si="83"/>
        <v>0.68881451289184503</v>
      </c>
      <c r="S109" s="45">
        <f t="shared" si="83"/>
        <v>0.70722802672779805</v>
      </c>
      <c r="T109" s="45">
        <f t="shared" si="83"/>
        <v>0.72239974885023983</v>
      </c>
      <c r="U109" s="45">
        <f t="shared" si="83"/>
        <v>0.72704988467017528</v>
      </c>
      <c r="V109" s="45">
        <f t="shared" si="83"/>
        <v>0.73062613190666403</v>
      </c>
      <c r="W109" s="45">
        <f t="shared" si="83"/>
        <v>0.69953744484707547</v>
      </c>
      <c r="X109" s="45">
        <f t="shared" si="83"/>
        <v>0.68490209238384891</v>
      </c>
    </row>
    <row r="111" spans="2:24" x14ac:dyDescent="0.25">
      <c r="B111" s="1" t="s">
        <v>157</v>
      </c>
      <c r="C111" s="1"/>
      <c r="G111" s="58" t="s">
        <v>155</v>
      </c>
      <c r="H111" s="46">
        <f t="shared" ref="H111:J111" si="84">+H104+H105+H106+H107+H109</f>
        <v>3.8188219912731389</v>
      </c>
      <c r="I111" s="46">
        <f t="shared" si="84"/>
        <v>4.1200532759058914</v>
      </c>
      <c r="J111" s="46">
        <f t="shared" si="84"/>
        <v>5.1895069078876501</v>
      </c>
      <c r="K111" s="46">
        <f t="shared" ref="K111:X111" si="85">+K104+K105+K106+K107+K109</f>
        <v>4.857335769773119</v>
      </c>
      <c r="L111" s="46">
        <f t="shared" ref="L111" si="86">+L104+L105+L106+L107+L109</f>
        <v>4.5975183564086475</v>
      </c>
      <c r="M111" s="46">
        <f t="shared" si="85"/>
        <v>4.4437708724478506</v>
      </c>
      <c r="N111" s="46">
        <f t="shared" si="85"/>
        <v>5.0396792080423669</v>
      </c>
      <c r="O111" s="46">
        <f t="shared" si="85"/>
        <v>5.1155097830172167</v>
      </c>
      <c r="P111" s="46">
        <f t="shared" si="85"/>
        <v>5.1559064956906004</v>
      </c>
      <c r="Q111" s="46">
        <f t="shared" si="85"/>
        <v>4.2766090623134358</v>
      </c>
      <c r="R111" s="46">
        <f t="shared" si="85"/>
        <v>4.1004211424373471</v>
      </c>
      <c r="S111" s="46">
        <f t="shared" si="85"/>
        <v>4.0990526470386843</v>
      </c>
      <c r="T111" s="46">
        <f t="shared" si="85"/>
        <v>4.2607548922913718</v>
      </c>
      <c r="U111" s="46">
        <f t="shared" si="85"/>
        <v>3.9122000563577437</v>
      </c>
      <c r="V111" s="46">
        <f t="shared" si="85"/>
        <v>4.1700928877237491</v>
      </c>
      <c r="W111" s="46">
        <f t="shared" si="85"/>
        <v>3.4065676056772003</v>
      </c>
      <c r="X111" s="46">
        <f t="shared" si="85"/>
        <v>3.4706067245085617</v>
      </c>
    </row>
    <row r="112" spans="2:24" ht="30" x14ac:dyDescent="0.25">
      <c r="B112" s="47" t="s">
        <v>158</v>
      </c>
      <c r="C112" s="1"/>
      <c r="G112" s="46">
        <f t="shared" ref="G112:J112" si="87">+G104+G105+G106+G108+G109</f>
        <v>3.6736623880953934</v>
      </c>
      <c r="H112" s="46">
        <f t="shared" si="87"/>
        <v>4.8862373574803586</v>
      </c>
      <c r="I112" s="46">
        <f t="shared" si="87"/>
        <v>4.6492063391813527</v>
      </c>
      <c r="J112" s="46">
        <f t="shared" si="87"/>
        <v>4.8425867664787114</v>
      </c>
      <c r="K112" s="46">
        <f t="shared" ref="K112:X112" si="88">+K104+K105+K106+K108+K109</f>
        <v>4.8313692167430817</v>
      </c>
      <c r="L112" s="46">
        <f t="shared" ref="L112" si="89">+L104+L105+L106+L108+L109</f>
        <v>5.0803288198043521</v>
      </c>
      <c r="M112" s="46">
        <f t="shared" si="88"/>
        <v>5.103217123957414</v>
      </c>
      <c r="N112" s="46">
        <f t="shared" si="88"/>
        <v>5.2330932999940529</v>
      </c>
      <c r="O112" s="46">
        <f t="shared" si="88"/>
        <v>4.9176683285916551</v>
      </c>
      <c r="P112" s="46">
        <f t="shared" si="88"/>
        <v>5.4437123111518542</v>
      </c>
      <c r="Q112" s="46">
        <f t="shared" si="88"/>
        <v>4.9944999427128662</v>
      </c>
      <c r="R112" s="46">
        <f t="shared" si="88"/>
        <v>5.2307763666095219</v>
      </c>
      <c r="S112" s="46">
        <f t="shared" si="88"/>
        <v>4.8859278434592044</v>
      </c>
      <c r="T112" s="46">
        <f t="shared" si="88"/>
        <v>5.3625584841039622</v>
      </c>
      <c r="U112" s="46">
        <f t="shared" si="88"/>
        <v>5.1053928011969942</v>
      </c>
      <c r="V112" s="46">
        <f t="shared" si="88"/>
        <v>5.4405831321971965</v>
      </c>
      <c r="W112" s="46">
        <f t="shared" si="88"/>
        <v>4.465489277901229</v>
      </c>
      <c r="X112" s="46">
        <f t="shared" si="88"/>
        <v>4.8178492041029335</v>
      </c>
    </row>
    <row r="114" spans="2:24" x14ac:dyDescent="0.25">
      <c r="B114" s="9" t="s">
        <v>83</v>
      </c>
      <c r="C114" s="11"/>
      <c r="D114" s="11"/>
      <c r="E114" s="11"/>
      <c r="F114" s="11"/>
    </row>
    <row r="116" spans="2:24" ht="30" x14ac:dyDescent="0.25">
      <c r="B116" s="13" t="s">
        <v>84</v>
      </c>
      <c r="C116" s="13" t="s">
        <v>150</v>
      </c>
      <c r="D116" s="34"/>
      <c r="E116" s="34"/>
      <c r="F116" s="34"/>
      <c r="G116" s="4">
        <f t="shared" ref="G116:X116" si="90">(+G14-G17)/G48/1000</f>
        <v>23.881528633562883</v>
      </c>
      <c r="H116" s="4">
        <f t="shared" si="90"/>
        <v>24.382446085538238</v>
      </c>
      <c r="I116" s="4">
        <f t="shared" si="90"/>
        <v>24.27927238129757</v>
      </c>
      <c r="J116" s="4">
        <f t="shared" si="90"/>
        <v>24.404005074302283</v>
      </c>
      <c r="K116" s="4">
        <f t="shared" si="90"/>
        <v>24.517499546937294</v>
      </c>
      <c r="L116" s="4">
        <f t="shared" si="90"/>
        <v>25.009695541862996</v>
      </c>
      <c r="M116" s="4">
        <f t="shared" si="90"/>
        <v>24.956542225444</v>
      </c>
      <c r="N116" s="4">
        <f t="shared" si="90"/>
        <v>25.40912468285611</v>
      </c>
      <c r="O116" s="4">
        <f t="shared" si="90"/>
        <v>25.485789688292858</v>
      </c>
      <c r="P116" s="4">
        <f t="shared" si="90"/>
        <v>26.13217198260239</v>
      </c>
      <c r="Q116" s="4">
        <f t="shared" si="90"/>
        <v>26.101544943820222</v>
      </c>
      <c r="R116" s="4">
        <f t="shared" si="90"/>
        <v>26.831370061616525</v>
      </c>
      <c r="S116" s="4">
        <f t="shared" si="90"/>
        <v>27.019628941645525</v>
      </c>
      <c r="T116" s="4">
        <f t="shared" si="90"/>
        <v>27.63174383834723</v>
      </c>
      <c r="U116" s="4">
        <f t="shared" si="90"/>
        <v>27.661124954693729</v>
      </c>
      <c r="V116" s="4">
        <f t="shared" si="90"/>
        <v>28.070573577383112</v>
      </c>
      <c r="W116" s="4">
        <f t="shared" si="90"/>
        <v>28.739561435302647</v>
      </c>
      <c r="X116" s="4">
        <f t="shared" si="90"/>
        <v>29.43374411018485</v>
      </c>
    </row>
    <row r="117" spans="2:24" x14ac:dyDescent="0.25">
      <c r="B117" s="1" t="s">
        <v>138</v>
      </c>
      <c r="C117" s="1" t="s">
        <v>150</v>
      </c>
      <c r="D117" s="5"/>
      <c r="E117" s="5"/>
      <c r="F117" s="5"/>
      <c r="G117" s="4">
        <f t="shared" ref="G117:X117" si="91">-G16/+G48/1000</f>
        <v>-3.4387663102573396</v>
      </c>
      <c r="H117" s="4">
        <f t="shared" si="91"/>
        <v>-3.4918743204059441</v>
      </c>
      <c r="I117" s="4">
        <f t="shared" si="91"/>
        <v>-3.3686956324755348</v>
      </c>
      <c r="J117" s="4">
        <f t="shared" si="91"/>
        <v>-3.3194545125045307</v>
      </c>
      <c r="K117" s="4">
        <f t="shared" si="91"/>
        <v>-3.2855586263138816</v>
      </c>
      <c r="L117" s="4">
        <f t="shared" si="91"/>
        <v>-3.2765245559985501</v>
      </c>
      <c r="M117" s="4">
        <f t="shared" si="91"/>
        <v>-3.2732353207683946</v>
      </c>
      <c r="N117" s="4">
        <f t="shared" si="91"/>
        <v>-3.2694545125045305</v>
      </c>
      <c r="O117" s="4">
        <f t="shared" si="91"/>
        <v>-3.1124864081188837</v>
      </c>
      <c r="P117" s="4">
        <f t="shared" si="91"/>
        <v>-3.1849401957230881</v>
      </c>
      <c r="Q117" s="4">
        <f t="shared" si="91"/>
        <v>-3.2249592243566507</v>
      </c>
      <c r="R117" s="4">
        <f t="shared" si="91"/>
        <v>-3.2601916455237405</v>
      </c>
      <c r="S117" s="4">
        <f t="shared" si="91"/>
        <v>-3.2796824030445815</v>
      </c>
      <c r="T117" s="4">
        <f t="shared" si="91"/>
        <v>-3.3071719826023922</v>
      </c>
      <c r="U117" s="4">
        <f t="shared" si="91"/>
        <v>-3.3534704603117071</v>
      </c>
      <c r="V117" s="4">
        <f t="shared" si="91"/>
        <v>-3.3364488945270026</v>
      </c>
      <c r="W117" s="4">
        <f t="shared" si="91"/>
        <v>-3.9609097499093875</v>
      </c>
      <c r="X117" s="4">
        <f t="shared" si="91"/>
        <v>-3.9707548024646613</v>
      </c>
    </row>
    <row r="118" spans="2:24" x14ac:dyDescent="0.25"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</row>
    <row r="119" spans="2:24" x14ac:dyDescent="0.25">
      <c r="B119" s="1" t="s">
        <v>73</v>
      </c>
      <c r="C119" s="1" t="s">
        <v>150</v>
      </c>
      <c r="D119" s="5"/>
      <c r="E119" s="5"/>
      <c r="F119" s="5"/>
      <c r="G119" s="4">
        <f>+G116+G117</f>
        <v>20.442762323305544</v>
      </c>
      <c r="H119" s="4">
        <f t="shared" ref="H119:X119" si="92">+H116+H117</f>
        <v>20.890571765132293</v>
      </c>
      <c r="I119" s="4">
        <f t="shared" si="92"/>
        <v>20.910576748822034</v>
      </c>
      <c r="J119" s="4">
        <f t="shared" si="92"/>
        <v>21.084550561797752</v>
      </c>
      <c r="K119" s="4">
        <f t="shared" si="92"/>
        <v>21.231940920623412</v>
      </c>
      <c r="L119" s="4">
        <f t="shared" si="92"/>
        <v>21.733170985864447</v>
      </c>
      <c r="M119" s="4">
        <f t="shared" si="92"/>
        <v>21.683306904675604</v>
      </c>
      <c r="N119" s="4">
        <f t="shared" si="92"/>
        <v>22.139670170351579</v>
      </c>
      <c r="O119" s="4">
        <f t="shared" si="92"/>
        <v>22.373303280173975</v>
      </c>
      <c r="P119" s="4">
        <f t="shared" si="92"/>
        <v>22.947231786879303</v>
      </c>
      <c r="Q119" s="4">
        <f t="shared" si="92"/>
        <v>22.87658571946357</v>
      </c>
      <c r="R119" s="4">
        <f t="shared" si="92"/>
        <v>23.571178416092785</v>
      </c>
      <c r="S119" s="4">
        <f t="shared" si="92"/>
        <v>23.739946538600943</v>
      </c>
      <c r="T119" s="4">
        <f t="shared" si="92"/>
        <v>24.324571855744839</v>
      </c>
      <c r="U119" s="4">
        <f t="shared" si="92"/>
        <v>24.307654494382021</v>
      </c>
      <c r="V119" s="4">
        <f t="shared" si="92"/>
        <v>24.734124682856109</v>
      </c>
      <c r="W119" s="4">
        <f t="shared" si="92"/>
        <v>24.77865168539326</v>
      </c>
      <c r="X119" s="4">
        <f t="shared" si="92"/>
        <v>25.462989307720189</v>
      </c>
    </row>
    <row r="120" spans="2:24" x14ac:dyDescent="0.25"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</row>
    <row r="121" spans="2:24" x14ac:dyDescent="0.25">
      <c r="B121" s="1" t="s">
        <v>85</v>
      </c>
      <c r="C121" s="1" t="s">
        <v>150</v>
      </c>
      <c r="D121" s="5"/>
      <c r="E121" s="5"/>
      <c r="F121" s="5"/>
      <c r="G121" s="4">
        <f t="shared" ref="G121:X121" si="93">+G50</f>
        <v>0</v>
      </c>
      <c r="H121" s="4">
        <f t="shared" si="93"/>
        <v>0</v>
      </c>
      <c r="I121" s="4">
        <f t="shared" si="93"/>
        <v>0</v>
      </c>
      <c r="J121" s="4">
        <f t="shared" si="93"/>
        <v>0.46</v>
      </c>
      <c r="K121" s="4">
        <f t="shared" si="93"/>
        <v>0.46</v>
      </c>
      <c r="L121" s="4">
        <f t="shared" si="93"/>
        <v>0.46</v>
      </c>
      <c r="M121" s="4">
        <f t="shared" si="93"/>
        <v>0.46</v>
      </c>
      <c r="N121" s="4">
        <f t="shared" si="93"/>
        <v>0.38</v>
      </c>
      <c r="O121" s="4">
        <f t="shared" si="93"/>
        <v>0.38</v>
      </c>
      <c r="P121" s="4">
        <f t="shared" si="93"/>
        <v>0.38</v>
      </c>
      <c r="Q121" s="4">
        <f t="shared" si="93"/>
        <v>0.38</v>
      </c>
      <c r="R121" s="4">
        <f t="shared" si="93"/>
        <v>0.44</v>
      </c>
      <c r="S121" s="4">
        <f t="shared" si="93"/>
        <v>0.44</v>
      </c>
      <c r="T121" s="4">
        <f t="shared" si="93"/>
        <v>0.44</v>
      </c>
      <c r="U121" s="4">
        <f t="shared" si="93"/>
        <v>0.44</v>
      </c>
      <c r="V121" s="4">
        <f t="shared" si="93"/>
        <v>0.48</v>
      </c>
      <c r="W121" s="4">
        <f t="shared" si="93"/>
        <v>0.48</v>
      </c>
      <c r="X121" s="4">
        <f t="shared" si="93"/>
        <v>0.48</v>
      </c>
    </row>
    <row r="122" spans="2:24" x14ac:dyDescent="0.25">
      <c r="B122" s="1" t="s">
        <v>86</v>
      </c>
      <c r="C122" s="1" t="s">
        <v>150</v>
      </c>
      <c r="D122" s="5"/>
      <c r="E122" s="5"/>
      <c r="F122" s="5"/>
      <c r="G122" s="55" t="s">
        <v>155</v>
      </c>
      <c r="H122" s="4">
        <f t="shared" ref="H122:X122" si="94">+H124-H121-H116</f>
        <v>-10.132446085538238</v>
      </c>
      <c r="I122" s="4">
        <f t="shared" si="94"/>
        <v>-6.8992723812975711</v>
      </c>
      <c r="J122" s="4">
        <f t="shared" si="94"/>
        <v>-1.5640050743022833</v>
      </c>
      <c r="K122" s="4">
        <f t="shared" si="94"/>
        <v>-3.5774995469372968</v>
      </c>
      <c r="L122" s="4">
        <f t="shared" si="94"/>
        <v>-6.7396955418629965</v>
      </c>
      <c r="M122" s="4">
        <f t="shared" si="94"/>
        <v>-7.8165422254439996</v>
      </c>
      <c r="N122" s="4">
        <f t="shared" si="94"/>
        <v>-4.8391246828561094</v>
      </c>
      <c r="O122" s="4">
        <f t="shared" si="94"/>
        <v>-2.1657896882928576</v>
      </c>
      <c r="P122" s="4">
        <f t="shared" si="94"/>
        <v>-5.3121719826023899</v>
      </c>
      <c r="Q122" s="4">
        <f t="shared" si="94"/>
        <v>-8.4815449438202215</v>
      </c>
      <c r="R122" s="4">
        <f t="shared" si="94"/>
        <v>-11.171370061616523</v>
      </c>
      <c r="S122" s="4">
        <f t="shared" si="94"/>
        <v>-9.4596289416455264</v>
      </c>
      <c r="T122" s="4">
        <f t="shared" si="94"/>
        <v>-11.021743838347231</v>
      </c>
      <c r="U122" s="4">
        <f t="shared" si="94"/>
        <v>-12.23112495469373</v>
      </c>
      <c r="V122" s="4">
        <f t="shared" si="94"/>
        <v>-12.200573577383111</v>
      </c>
      <c r="W122" s="4">
        <f t="shared" si="94"/>
        <v>-13.489561435302647</v>
      </c>
      <c r="X122" s="4">
        <f t="shared" si="94"/>
        <v>-15.063744110184851</v>
      </c>
    </row>
    <row r="123" spans="2:24" x14ac:dyDescent="0.25">
      <c r="G123" s="59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2:24" x14ac:dyDescent="0.25">
      <c r="B124" s="1" t="s">
        <v>87</v>
      </c>
      <c r="C124" s="1" t="s">
        <v>128</v>
      </c>
      <c r="D124" s="5"/>
      <c r="E124" s="5"/>
      <c r="F124" s="5"/>
      <c r="G124" s="55" t="str">
        <f t="shared" ref="G124:X124" si="95">+G54</f>
        <v>bd</v>
      </c>
      <c r="H124" s="4">
        <f t="shared" si="95"/>
        <v>14.25</v>
      </c>
      <c r="I124" s="4">
        <f t="shared" si="95"/>
        <v>17.38</v>
      </c>
      <c r="J124" s="4">
        <f t="shared" si="95"/>
        <v>23.3</v>
      </c>
      <c r="K124" s="4">
        <f t="shared" si="95"/>
        <v>21.4</v>
      </c>
      <c r="L124" s="4">
        <f t="shared" si="95"/>
        <v>18.73</v>
      </c>
      <c r="M124" s="4">
        <f t="shared" si="95"/>
        <v>17.600000000000001</v>
      </c>
      <c r="N124" s="4">
        <f t="shared" si="95"/>
        <v>20.95</v>
      </c>
      <c r="O124" s="4">
        <f t="shared" si="95"/>
        <v>23.7</v>
      </c>
      <c r="P124" s="4">
        <f t="shared" si="95"/>
        <v>21.2</v>
      </c>
      <c r="Q124" s="4">
        <f t="shared" si="95"/>
        <v>18</v>
      </c>
      <c r="R124" s="4">
        <f t="shared" si="95"/>
        <v>16.100000000000001</v>
      </c>
      <c r="S124" s="4">
        <f t="shared" si="95"/>
        <v>18</v>
      </c>
      <c r="T124" s="4">
        <f t="shared" si="95"/>
        <v>17.05</v>
      </c>
      <c r="U124" s="4">
        <f t="shared" si="95"/>
        <v>15.87</v>
      </c>
      <c r="V124" s="4">
        <f t="shared" si="95"/>
        <v>16.350000000000001</v>
      </c>
      <c r="W124" s="4">
        <f t="shared" si="95"/>
        <v>15.73</v>
      </c>
      <c r="X124" s="4">
        <f t="shared" si="95"/>
        <v>14.85</v>
      </c>
    </row>
    <row r="126" spans="2:24" x14ac:dyDescent="0.25">
      <c r="B126" s="1" t="s">
        <v>46</v>
      </c>
      <c r="D126" s="2">
        <v>2009</v>
      </c>
      <c r="E126" s="2">
        <v>2010</v>
      </c>
      <c r="F126" s="2">
        <v>2011</v>
      </c>
      <c r="G126" s="2">
        <v>2012</v>
      </c>
      <c r="H126" s="2" t="s">
        <v>51</v>
      </c>
      <c r="I126" s="2" t="s">
        <v>53</v>
      </c>
      <c r="J126" s="2" t="s">
        <v>54</v>
      </c>
      <c r="K126" s="2" t="s">
        <v>52</v>
      </c>
    </row>
    <row r="128" spans="2:24" x14ac:dyDescent="0.25">
      <c r="C128" s="1" t="s">
        <v>47</v>
      </c>
      <c r="D128" s="3">
        <f>+H37</f>
        <v>1884687</v>
      </c>
      <c r="E128" s="3">
        <f>+L37</f>
        <v>2021380</v>
      </c>
      <c r="F128" s="3">
        <f>+P37</f>
        <v>2472230</v>
      </c>
      <c r="G128" s="3">
        <f>+T37</f>
        <v>2645780</v>
      </c>
      <c r="H128" s="3">
        <f>SUM(D128:G128)</f>
        <v>9024077</v>
      </c>
      <c r="I128" s="3">
        <f>COUNT(D128:G128)</f>
        <v>4</v>
      </c>
      <c r="J128" s="3">
        <f>+H128/I128</f>
        <v>2256019.25</v>
      </c>
      <c r="K128" s="20">
        <f>+J128/J133</f>
        <v>0.26223454101001997</v>
      </c>
    </row>
    <row r="129" spans="2:11" x14ac:dyDescent="0.25">
      <c r="C129" s="1" t="s">
        <v>48</v>
      </c>
      <c r="D129" s="3">
        <f>+I37</f>
        <v>1707239</v>
      </c>
      <c r="E129" s="3">
        <f>+M37</f>
        <v>1896447</v>
      </c>
      <c r="F129" s="3">
        <f>+Q37</f>
        <v>2273446</v>
      </c>
      <c r="G129" s="3">
        <f>+U37</f>
        <v>2482050</v>
      </c>
      <c r="H129" s="3">
        <f>SUM(D129:G129)</f>
        <v>8359182</v>
      </c>
      <c r="I129" s="3">
        <f>COUNT(D129:G129)</f>
        <v>4</v>
      </c>
      <c r="J129" s="3">
        <f>+H129/I129</f>
        <v>2089795.5</v>
      </c>
      <c r="K129" s="20">
        <f>+J129/J133</f>
        <v>0.24291307077601629</v>
      </c>
    </row>
    <row r="130" spans="2:11" x14ac:dyDescent="0.25">
      <c r="C130" s="1" t="s">
        <v>49</v>
      </c>
      <c r="D130" s="3">
        <f>+J37</f>
        <v>1647512</v>
      </c>
      <c r="E130" s="3">
        <f>+N37</f>
        <v>1909925</v>
      </c>
      <c r="F130" s="3">
        <f>+R37</f>
        <v>2422274</v>
      </c>
      <c r="G130" s="3">
        <f>+V37</f>
        <v>2457009</v>
      </c>
      <c r="H130" s="3">
        <f>SUM(D130:G130)</f>
        <v>8436720</v>
      </c>
      <c r="I130" s="3">
        <f>COUNT(D130:G130)</f>
        <v>4</v>
      </c>
      <c r="J130" s="3">
        <f>+H130/I130</f>
        <v>2109180</v>
      </c>
      <c r="K130" s="20">
        <f>+J130/J133</f>
        <v>0.24516628092048148</v>
      </c>
    </row>
    <row r="131" spans="2:11" x14ac:dyDescent="0.25">
      <c r="C131" s="1" t="s">
        <v>50</v>
      </c>
      <c r="D131" s="3">
        <f>+K37</f>
        <v>1914071</v>
      </c>
      <c r="E131" s="3">
        <f>+O37</f>
        <v>2009123</v>
      </c>
      <c r="F131" s="3">
        <f>+S37</f>
        <v>2520999</v>
      </c>
      <c r="G131" s="3"/>
      <c r="H131" s="3">
        <f>SUM(D131:G131)</f>
        <v>6444193</v>
      </c>
      <c r="I131" s="3">
        <f>COUNT(D131:G131)</f>
        <v>3</v>
      </c>
      <c r="J131" s="3">
        <f>+H131/I131</f>
        <v>2148064.3333333335</v>
      </c>
      <c r="K131" s="20">
        <f>+J131/J133</f>
        <v>0.2496861072934822</v>
      </c>
    </row>
    <row r="132" spans="2:11" x14ac:dyDescent="0.25">
      <c r="K132" s="23"/>
    </row>
    <row r="133" spans="2:11" x14ac:dyDescent="0.25">
      <c r="C133" s="1" t="s">
        <v>51</v>
      </c>
      <c r="D133" s="3">
        <f>SUM(D128:D132)</f>
        <v>7153509</v>
      </c>
      <c r="E133" s="3">
        <f>SUM(E128:E132)</f>
        <v>7836875</v>
      </c>
      <c r="F133" s="3">
        <f>SUM(F128:F132)</f>
        <v>9688949</v>
      </c>
      <c r="G133" s="3">
        <f>SUM(G128:G132)</f>
        <v>7584839</v>
      </c>
      <c r="H133" s="3">
        <f>SUM(D133:G133)</f>
        <v>32264172</v>
      </c>
      <c r="I133" s="21"/>
      <c r="J133" s="3">
        <f>SUM(J128:J132)</f>
        <v>8603059.083333334</v>
      </c>
      <c r="K133" s="20">
        <f>SUM(K128:K132)</f>
        <v>1</v>
      </c>
    </row>
    <row r="134" spans="2:11" x14ac:dyDescent="0.25">
      <c r="H134" s="3">
        <f>SUM(H128:H131)</f>
        <v>32264172</v>
      </c>
    </row>
    <row r="136" spans="2:11" ht="30" x14ac:dyDescent="0.25">
      <c r="B136" s="13" t="s">
        <v>136</v>
      </c>
      <c r="D136" s="2">
        <v>2009</v>
      </c>
      <c r="E136" s="2">
        <v>2010</v>
      </c>
      <c r="F136" s="2">
        <v>2011</v>
      </c>
      <c r="G136" s="2">
        <v>2012</v>
      </c>
      <c r="H136" s="2" t="s">
        <v>51</v>
      </c>
      <c r="I136" s="2" t="s">
        <v>53</v>
      </c>
      <c r="J136" s="2" t="s">
        <v>54</v>
      </c>
      <c r="K136" s="2" t="s">
        <v>52</v>
      </c>
    </row>
    <row r="138" spans="2:11" x14ac:dyDescent="0.25">
      <c r="C138" s="1" t="s">
        <v>47</v>
      </c>
      <c r="D138" s="3">
        <f>+H38</f>
        <v>1661090</v>
      </c>
      <c r="E138" s="3">
        <f>+L38</f>
        <v>1794827</v>
      </c>
      <c r="F138" s="3">
        <f>+P38</f>
        <v>2189435</v>
      </c>
      <c r="G138" s="3">
        <f>+T38</f>
        <v>2360629</v>
      </c>
      <c r="H138" s="3">
        <f>SUM(D138:G138)</f>
        <v>8005981</v>
      </c>
      <c r="I138" s="3">
        <f>COUNT(D138:G138)</f>
        <v>4</v>
      </c>
      <c r="J138" s="3">
        <f>+H138/I138</f>
        <v>2001495.25</v>
      </c>
      <c r="K138" s="20">
        <f>+J138/J143</f>
        <v>0.25400612380627124</v>
      </c>
    </row>
    <row r="139" spans="2:11" x14ac:dyDescent="0.25">
      <c r="C139" s="1" t="s">
        <v>48</v>
      </c>
      <c r="D139" s="3">
        <f>+I38</f>
        <v>1506908</v>
      </c>
      <c r="E139" s="3">
        <f>+M38</f>
        <v>1729487</v>
      </c>
      <c r="F139" s="3">
        <f>+Q38</f>
        <v>2118012</v>
      </c>
      <c r="G139" s="3">
        <f>+U38</f>
        <v>2237000</v>
      </c>
      <c r="H139" s="3">
        <f>SUM(D139:G139)</f>
        <v>7591407</v>
      </c>
      <c r="I139" s="3">
        <f>COUNT(D139:G139)</f>
        <v>4</v>
      </c>
      <c r="J139" s="3">
        <f>+H139/I139</f>
        <v>1897851.75</v>
      </c>
      <c r="K139" s="20">
        <f>+J139/J143</f>
        <v>0.2408529156271785</v>
      </c>
    </row>
    <row r="140" spans="2:11" x14ac:dyDescent="0.25">
      <c r="C140" s="1" t="s">
        <v>49</v>
      </c>
      <c r="D140" s="3">
        <f>+J38</f>
        <v>1632009</v>
      </c>
      <c r="E140" s="3">
        <f>+N38</f>
        <v>1692735</v>
      </c>
      <c r="F140" s="3">
        <f>+R38</f>
        <v>2085580</v>
      </c>
      <c r="G140" s="3">
        <f>+V38</f>
        <v>2234529</v>
      </c>
      <c r="H140" s="3">
        <f>SUM(D140:G140)</f>
        <v>7644853</v>
      </c>
      <c r="I140" s="3">
        <f>COUNT(D140:G140)</f>
        <v>4</v>
      </c>
      <c r="J140" s="3">
        <f>+H140/I140</f>
        <v>1911213.25</v>
      </c>
      <c r="K140" s="20">
        <f>+J140/J143</f>
        <v>0.2425485993032889</v>
      </c>
    </row>
    <row r="141" spans="2:11" x14ac:dyDescent="0.25">
      <c r="C141" s="1" t="s">
        <v>50</v>
      </c>
      <c r="D141" s="3">
        <f>+K38</f>
        <v>1847897</v>
      </c>
      <c r="E141" s="3">
        <f>+O38</f>
        <v>1907862</v>
      </c>
      <c r="F141" s="3">
        <f>+S38</f>
        <v>2451698</v>
      </c>
      <c r="G141" s="3"/>
      <c r="H141" s="3">
        <f>SUM(D141:G141)</f>
        <v>6207457</v>
      </c>
      <c r="I141" s="3">
        <f>COUNT(D141:G141)</f>
        <v>3</v>
      </c>
      <c r="J141" s="3">
        <f>+H141/I141</f>
        <v>2069152.3333333333</v>
      </c>
      <c r="K141" s="20">
        <f>+J141/J143</f>
        <v>0.26259236126326141</v>
      </c>
    </row>
    <row r="142" spans="2:11" x14ac:dyDescent="0.25">
      <c r="K142" s="23"/>
    </row>
    <row r="143" spans="2:11" x14ac:dyDescent="0.25">
      <c r="C143" s="1" t="s">
        <v>51</v>
      </c>
      <c r="D143" s="3">
        <f>SUM(D138:D142)</f>
        <v>6647904</v>
      </c>
      <c r="E143" s="3">
        <f>SUM(E138:E142)</f>
        <v>7124911</v>
      </c>
      <c r="F143" s="3">
        <f>SUM(F138:F142)</f>
        <v>8844725</v>
      </c>
      <c r="G143" s="3">
        <f>SUM(G138:G142)</f>
        <v>6832158</v>
      </c>
      <c r="H143" s="3">
        <f>SUM(D143:G143)</f>
        <v>29449698</v>
      </c>
      <c r="I143" s="21"/>
      <c r="J143" s="3">
        <f>SUM(J138:J142)</f>
        <v>7879712.583333333</v>
      </c>
      <c r="K143" s="20">
        <f>SUM(K138:K142)</f>
        <v>1</v>
      </c>
    </row>
    <row r="144" spans="2:11" x14ac:dyDescent="0.25">
      <c r="H144" s="3">
        <f>SUM(H138:H141)</f>
        <v>29449698</v>
      </c>
    </row>
    <row r="146" spans="2:11" x14ac:dyDescent="0.25">
      <c r="B146" s="1" t="s">
        <v>143</v>
      </c>
      <c r="D146" s="2">
        <v>2009</v>
      </c>
      <c r="E146" s="2">
        <v>2010</v>
      </c>
      <c r="F146" s="2">
        <v>2011</v>
      </c>
      <c r="G146" s="2">
        <v>2012</v>
      </c>
      <c r="H146" s="2" t="s">
        <v>51</v>
      </c>
      <c r="I146" s="2" t="s">
        <v>53</v>
      </c>
      <c r="J146" s="2" t="s">
        <v>54</v>
      </c>
      <c r="K146" s="2" t="s">
        <v>52</v>
      </c>
    </row>
    <row r="148" spans="2:11" x14ac:dyDescent="0.25">
      <c r="C148" s="1" t="s">
        <v>47</v>
      </c>
      <c r="D148" s="3">
        <f>+H40</f>
        <v>28450</v>
      </c>
      <c r="E148" s="3">
        <f>+L40</f>
        <v>45431</v>
      </c>
      <c r="F148" s="3">
        <f>+P40</f>
        <v>29051</v>
      </c>
      <c r="G148" s="3">
        <f>+T40</f>
        <v>34765</v>
      </c>
      <c r="H148" s="3">
        <f>SUM(D148:G148)</f>
        <v>137697</v>
      </c>
      <c r="I148" s="3">
        <f>COUNT(D148:G148)</f>
        <v>4</v>
      </c>
      <c r="J148" s="3">
        <f>+H148/I148</f>
        <v>34424.25</v>
      </c>
      <c r="K148" s="20">
        <f>+J148/J153</f>
        <v>0.28594419709605606</v>
      </c>
    </row>
    <row r="149" spans="2:11" x14ac:dyDescent="0.25">
      <c r="C149" s="1" t="s">
        <v>48</v>
      </c>
      <c r="D149" s="3">
        <f>+I40</f>
        <v>39959</v>
      </c>
      <c r="E149" s="3">
        <f>+M40</f>
        <v>18639</v>
      </c>
      <c r="F149" s="3">
        <f>+Q40</f>
        <v>55054</v>
      </c>
      <c r="G149" s="3">
        <f>+U40</f>
        <v>2509</v>
      </c>
      <c r="H149" s="3">
        <f>SUM(D149:G149)</f>
        <v>116161</v>
      </c>
      <c r="I149" s="3">
        <f>COUNT(D149:G149)</f>
        <v>4</v>
      </c>
      <c r="J149" s="3">
        <f>+H149/I149</f>
        <v>29040.25</v>
      </c>
      <c r="K149" s="20">
        <f>+J149/J153</f>
        <v>0.24122213177393095</v>
      </c>
    </row>
    <row r="150" spans="2:11" x14ac:dyDescent="0.25">
      <c r="C150" s="1" t="s">
        <v>49</v>
      </c>
      <c r="D150" s="3">
        <f>+J40</f>
        <v>48861</v>
      </c>
      <c r="E150" s="3">
        <f>+N40</f>
        <v>18605</v>
      </c>
      <c r="F150" s="3">
        <f>+R40</f>
        <v>34915</v>
      </c>
      <c r="G150" s="3">
        <f>+V40</f>
        <v>28129</v>
      </c>
      <c r="H150" s="3">
        <f>SUM(D150:G150)</f>
        <v>130510</v>
      </c>
      <c r="I150" s="3">
        <f>COUNT(D150:G150)</f>
        <v>4</v>
      </c>
      <c r="J150" s="3">
        <f>+H150/I150</f>
        <v>32627.5</v>
      </c>
      <c r="K150" s="20">
        <f>+J150/J153</f>
        <v>0.2710195368309134</v>
      </c>
    </row>
    <row r="151" spans="2:11" x14ac:dyDescent="0.25">
      <c r="C151" s="1" t="s">
        <v>50</v>
      </c>
      <c r="D151" s="3">
        <f>+K40</f>
        <v>30181</v>
      </c>
      <c r="E151" s="3">
        <f>+O40</f>
        <v>18577</v>
      </c>
      <c r="F151" s="3">
        <f>+S40</f>
        <v>24130</v>
      </c>
      <c r="G151" s="3"/>
      <c r="H151" s="3">
        <f>SUM(D151:G151)</f>
        <v>72888</v>
      </c>
      <c r="I151" s="3">
        <f>COUNT(D151:G151)</f>
        <v>3</v>
      </c>
      <c r="J151" s="3">
        <f>+H151/I151</f>
        <v>24296</v>
      </c>
      <c r="K151" s="20">
        <f>+J151/J153</f>
        <v>0.20181413429909958</v>
      </c>
    </row>
    <row r="152" spans="2:11" x14ac:dyDescent="0.25">
      <c r="K152" s="23"/>
    </row>
    <row r="153" spans="2:11" x14ac:dyDescent="0.25">
      <c r="C153" s="1" t="s">
        <v>51</v>
      </c>
      <c r="D153" s="3">
        <f>SUM(D148:D152)</f>
        <v>147451</v>
      </c>
      <c r="E153" s="3">
        <f>SUM(E148:E152)</f>
        <v>101252</v>
      </c>
      <c r="F153" s="3">
        <f>SUM(F148:F152)</f>
        <v>143150</v>
      </c>
      <c r="G153" s="3">
        <f>SUM(G148:G152)</f>
        <v>65403</v>
      </c>
      <c r="H153" s="3">
        <f>SUM(D153:G153)</f>
        <v>457256</v>
      </c>
      <c r="I153" s="21"/>
      <c r="J153" s="3">
        <f>SUM(J148:J152)</f>
        <v>120388</v>
      </c>
      <c r="K153" s="20">
        <f>SUM(K148:K152)</f>
        <v>1</v>
      </c>
    </row>
    <row r="154" spans="2:11" x14ac:dyDescent="0.25">
      <c r="H154" s="3">
        <f>SUM(H148:H151)</f>
        <v>457256</v>
      </c>
    </row>
    <row r="156" spans="2:11" x14ac:dyDescent="0.25">
      <c r="B156" s="1" t="s">
        <v>144</v>
      </c>
      <c r="D156" s="2">
        <v>2009</v>
      </c>
      <c r="E156" s="2">
        <v>2010</v>
      </c>
      <c r="F156" s="2">
        <v>2011</v>
      </c>
      <c r="G156" s="2">
        <v>2012</v>
      </c>
      <c r="H156" s="2" t="s">
        <v>51</v>
      </c>
      <c r="I156" s="2" t="s">
        <v>53</v>
      </c>
      <c r="J156" s="2" t="s">
        <v>54</v>
      </c>
      <c r="K156" s="2" t="s">
        <v>52</v>
      </c>
    </row>
    <row r="158" spans="2:11" x14ac:dyDescent="0.25">
      <c r="C158" s="1" t="s">
        <v>47</v>
      </c>
      <c r="D158" s="3">
        <f>+H42</f>
        <v>49946</v>
      </c>
      <c r="E158" s="3">
        <f>+L42</f>
        <v>52594</v>
      </c>
      <c r="F158" s="3">
        <f>+P42</f>
        <v>64484</v>
      </c>
      <c r="G158" s="3">
        <f>+T42</f>
        <v>70490</v>
      </c>
      <c r="H158" s="3">
        <f>SUM(D158:G158)</f>
        <v>237514</v>
      </c>
      <c r="I158" s="3">
        <f>COUNT(D158:G158)</f>
        <v>4</v>
      </c>
      <c r="J158" s="3">
        <f>+H158/I158</f>
        <v>59378.5</v>
      </c>
      <c r="K158" s="20">
        <f>+J158/J163</f>
        <v>0.3359226532412386</v>
      </c>
    </row>
    <row r="159" spans="2:11" x14ac:dyDescent="0.25">
      <c r="C159" s="1" t="s">
        <v>48</v>
      </c>
      <c r="D159" s="3">
        <f>+I42</f>
        <v>50485</v>
      </c>
      <c r="E159" s="3">
        <f>+M42</f>
        <v>40297</v>
      </c>
      <c r="F159" s="3">
        <f>+Q42</f>
        <v>43737</v>
      </c>
      <c r="G159" s="3">
        <f>+U42</f>
        <v>40617</v>
      </c>
      <c r="H159" s="3">
        <f>SUM(D159:G159)</f>
        <v>175136</v>
      </c>
      <c r="I159" s="3">
        <f>COUNT(D159:G159)</f>
        <v>4</v>
      </c>
      <c r="J159" s="3">
        <f>+H159/I159</f>
        <v>43784</v>
      </c>
      <c r="K159" s="20">
        <f>+J159/J163</f>
        <v>0.24769971369290891</v>
      </c>
    </row>
    <row r="160" spans="2:11" x14ac:dyDescent="0.25">
      <c r="C160" s="1" t="s">
        <v>49</v>
      </c>
      <c r="D160" s="3">
        <f>+J42</f>
        <v>9988</v>
      </c>
      <c r="E160" s="3">
        <f>+N42</f>
        <v>53478</v>
      </c>
      <c r="F160" s="3">
        <f>+R42</f>
        <v>64967</v>
      </c>
      <c r="G160" s="3">
        <f>+V42</f>
        <v>61756</v>
      </c>
      <c r="H160" s="3">
        <f>SUM(D160:G160)</f>
        <v>190189</v>
      </c>
      <c r="I160" s="3">
        <f>COUNT(D160:G160)</f>
        <v>4</v>
      </c>
      <c r="J160" s="3">
        <f>+H160/I160</f>
        <v>47547.25</v>
      </c>
      <c r="K160" s="20">
        <f>+J160/J163</f>
        <v>0.2689895900759447</v>
      </c>
    </row>
    <row r="161" spans="2:11" x14ac:dyDescent="0.25">
      <c r="C161" s="1" t="s">
        <v>50</v>
      </c>
      <c r="D161" s="3">
        <f>+K42</f>
        <v>29027</v>
      </c>
      <c r="E161" s="3">
        <f>+O42</f>
        <v>27466</v>
      </c>
      <c r="F161" s="3">
        <f>+S42</f>
        <v>21665</v>
      </c>
      <c r="G161" s="3"/>
      <c r="H161" s="3">
        <f>SUM(D161:G161)</f>
        <v>78158</v>
      </c>
      <c r="I161" s="3">
        <f>COUNT(D161:G161)</f>
        <v>3</v>
      </c>
      <c r="J161" s="3">
        <f>+H161/I161</f>
        <v>26052.666666666668</v>
      </c>
      <c r="K161" s="20">
        <f>+J161/J163</f>
        <v>0.14738804298990785</v>
      </c>
    </row>
    <row r="162" spans="2:11" x14ac:dyDescent="0.25">
      <c r="K162" s="23"/>
    </row>
    <row r="163" spans="2:11" x14ac:dyDescent="0.25">
      <c r="C163" s="1" t="s">
        <v>51</v>
      </c>
      <c r="D163" s="3">
        <f>SUM(D158:D162)</f>
        <v>139446</v>
      </c>
      <c r="E163" s="3">
        <f>SUM(E158:E162)</f>
        <v>173835</v>
      </c>
      <c r="F163" s="3">
        <f>SUM(F158:F162)</f>
        <v>194853</v>
      </c>
      <c r="G163" s="3">
        <f>SUM(G158:G162)</f>
        <v>172863</v>
      </c>
      <c r="H163" s="3">
        <f>SUM(D163:G163)</f>
        <v>680997</v>
      </c>
      <c r="I163" s="21"/>
      <c r="J163" s="3">
        <f>SUM(J158:J162)</f>
        <v>176762.41666666666</v>
      </c>
      <c r="K163" s="20">
        <f>SUM(K158:K162)</f>
        <v>1</v>
      </c>
    </row>
    <row r="164" spans="2:11" x14ac:dyDescent="0.25">
      <c r="H164" s="3">
        <f>SUM(H158:H161)</f>
        <v>680997</v>
      </c>
    </row>
    <row r="166" spans="2:11" x14ac:dyDescent="0.25">
      <c r="B166" s="1" t="s">
        <v>165</v>
      </c>
      <c r="D166" s="2">
        <v>2009</v>
      </c>
      <c r="E166" s="2">
        <v>2010</v>
      </c>
      <c r="F166" s="2">
        <v>2011</v>
      </c>
      <c r="G166" s="2">
        <v>2012</v>
      </c>
      <c r="H166" s="2" t="s">
        <v>51</v>
      </c>
      <c r="I166" s="2" t="s">
        <v>53</v>
      </c>
      <c r="J166" s="2" t="s">
        <v>54</v>
      </c>
      <c r="K166" s="2" t="s">
        <v>52</v>
      </c>
    </row>
    <row r="168" spans="2:11" x14ac:dyDescent="0.25">
      <c r="C168" s="1" t="s">
        <v>47</v>
      </c>
      <c r="D168" s="3">
        <f>+H44</f>
        <v>201312</v>
      </c>
      <c r="E168" s="3">
        <f>+L44</f>
        <v>218150</v>
      </c>
      <c r="F168" s="3">
        <f>+P44</f>
        <v>246439</v>
      </c>
      <c r="G168" s="3">
        <f>+T44</f>
        <v>249116</v>
      </c>
      <c r="H168" s="3">
        <f>SUM(D168:G168)</f>
        <v>915017</v>
      </c>
      <c r="I168" s="3">
        <f>COUNT(D168:G168)</f>
        <v>4</v>
      </c>
      <c r="J168" s="3">
        <f>+H168/I168</f>
        <v>228754.25</v>
      </c>
      <c r="K168" s="20">
        <f>+J168/J173</f>
        <v>0.34280570957590289</v>
      </c>
    </row>
    <row r="169" spans="2:11" x14ac:dyDescent="0.25">
      <c r="C169" s="1" t="s">
        <v>48</v>
      </c>
      <c r="D169" s="3">
        <f>+I44</f>
        <v>190173</v>
      </c>
      <c r="E169" s="3">
        <f>+M44</f>
        <v>145846</v>
      </c>
      <c r="F169" s="3">
        <f>+Q44</f>
        <v>167510</v>
      </c>
      <c r="G169" s="3">
        <f>+U44</f>
        <v>208074</v>
      </c>
      <c r="H169" s="3">
        <f>SUM(D169:G169)</f>
        <v>711603</v>
      </c>
      <c r="I169" s="3">
        <f>COUNT(D169:G169)</f>
        <v>4</v>
      </c>
      <c r="J169" s="3">
        <f>+H169/I169</f>
        <v>177900.75</v>
      </c>
      <c r="K169" s="20">
        <f>+J169/J173</f>
        <v>0.26659785703581595</v>
      </c>
    </row>
    <row r="170" spans="2:11" x14ac:dyDescent="0.25">
      <c r="C170" s="1" t="s">
        <v>49</v>
      </c>
      <c r="D170" s="3">
        <f>+J44</f>
        <v>54887</v>
      </c>
      <c r="E170" s="3">
        <f>+N44</f>
        <v>183392</v>
      </c>
      <c r="F170" s="3">
        <f>+R44</f>
        <v>307392</v>
      </c>
      <c r="G170" s="3">
        <f>+V43</f>
        <v>188853</v>
      </c>
      <c r="H170" s="3">
        <f>SUM(D170:G170)</f>
        <v>734524</v>
      </c>
      <c r="I170" s="3">
        <f>COUNT(D170:G170)</f>
        <v>4</v>
      </c>
      <c r="J170" s="3">
        <f>+H170/I170</f>
        <v>183631</v>
      </c>
      <c r="K170" s="20">
        <f>+J170/J173</f>
        <v>0.27518507417952942</v>
      </c>
    </row>
    <row r="171" spans="2:11" x14ac:dyDescent="0.25">
      <c r="C171" s="1" t="s">
        <v>50</v>
      </c>
      <c r="D171" s="3">
        <f>+K44</f>
        <v>67217</v>
      </c>
      <c r="E171" s="3">
        <f>+O44</f>
        <v>91874</v>
      </c>
      <c r="F171" s="3">
        <f>+S44</f>
        <v>71951</v>
      </c>
      <c r="G171" s="3"/>
      <c r="H171" s="3">
        <f>SUM(D171:G171)</f>
        <v>231042</v>
      </c>
      <c r="I171" s="3">
        <f>COUNT(D171:G171)</f>
        <v>3</v>
      </c>
      <c r="J171" s="3">
        <f>+H171/I171</f>
        <v>77014</v>
      </c>
      <c r="K171" s="20">
        <f>+J171/J173</f>
        <v>0.11541135920875169</v>
      </c>
    </row>
    <row r="172" spans="2:11" x14ac:dyDescent="0.25">
      <c r="K172" s="23"/>
    </row>
    <row r="173" spans="2:11" x14ac:dyDescent="0.25">
      <c r="C173" s="1" t="s">
        <v>51</v>
      </c>
      <c r="D173" s="3">
        <f>SUM(D168:D172)</f>
        <v>513589</v>
      </c>
      <c r="E173" s="3">
        <f>SUM(E168:E172)</f>
        <v>639262</v>
      </c>
      <c r="F173" s="3">
        <f>SUM(F168:F172)</f>
        <v>793292</v>
      </c>
      <c r="G173" s="3">
        <f>SUM(G168:G172)</f>
        <v>646043</v>
      </c>
      <c r="H173" s="3">
        <f>SUM(D173:G173)</f>
        <v>2592186</v>
      </c>
      <c r="I173" s="21"/>
      <c r="J173" s="3">
        <f>SUM(J168:J172)</f>
        <v>667300</v>
      </c>
      <c r="K173" s="20">
        <f>SUM(K168:K172)</f>
        <v>0.99999999999999989</v>
      </c>
    </row>
    <row r="174" spans="2:11" x14ac:dyDescent="0.25">
      <c r="H174" s="3">
        <f>SUM(H168:H171)</f>
        <v>2592186</v>
      </c>
    </row>
    <row r="176" spans="2:11" x14ac:dyDescent="0.25">
      <c r="B176" s="26" t="s">
        <v>89</v>
      </c>
      <c r="C176" s="26" t="s">
        <v>103</v>
      </c>
      <c r="D176" s="26" t="s">
        <v>104</v>
      </c>
      <c r="E176" s="26" t="s">
        <v>121</v>
      </c>
      <c r="F176" s="26" t="s">
        <v>105</v>
      </c>
      <c r="G176" s="26" t="s">
        <v>106</v>
      </c>
      <c r="H176" s="26" t="s">
        <v>107</v>
      </c>
    </row>
    <row r="178" spans="2:8" x14ac:dyDescent="0.25">
      <c r="B178" s="1" t="s">
        <v>90</v>
      </c>
      <c r="C178" s="1">
        <v>31</v>
      </c>
      <c r="D178" s="1">
        <f>+C178</f>
        <v>31</v>
      </c>
      <c r="E178" s="1">
        <f>+C178</f>
        <v>31</v>
      </c>
      <c r="F178" s="1"/>
      <c r="G178" s="1"/>
      <c r="H178" s="1"/>
    </row>
    <row r="179" spans="2:8" x14ac:dyDescent="0.25">
      <c r="B179" s="1" t="s">
        <v>91</v>
      </c>
      <c r="C179" s="1">
        <v>28</v>
      </c>
      <c r="D179" s="1">
        <f>+C179</f>
        <v>28</v>
      </c>
      <c r="E179" s="1"/>
      <c r="F179" s="1"/>
      <c r="G179" s="1"/>
      <c r="H179" s="1"/>
    </row>
    <row r="180" spans="2:8" x14ac:dyDescent="0.25">
      <c r="B180" s="1" t="s">
        <v>92</v>
      </c>
      <c r="C180" s="1">
        <v>29</v>
      </c>
      <c r="D180" s="1"/>
      <c r="E180" s="1">
        <f>+C180</f>
        <v>29</v>
      </c>
      <c r="F180" s="1"/>
      <c r="G180" s="1"/>
      <c r="H180" s="1"/>
    </row>
    <row r="181" spans="2:8" x14ac:dyDescent="0.25">
      <c r="B181" s="1" t="s">
        <v>93</v>
      </c>
      <c r="C181" s="1">
        <v>31</v>
      </c>
      <c r="D181" s="1">
        <f>+C181</f>
        <v>31</v>
      </c>
      <c r="E181" s="1">
        <f>+C181</f>
        <v>31</v>
      </c>
      <c r="F181" s="1"/>
      <c r="G181" s="1"/>
      <c r="H181" s="1"/>
    </row>
    <row r="182" spans="2:8" x14ac:dyDescent="0.25">
      <c r="B182" s="1" t="s">
        <v>94</v>
      </c>
      <c r="C182" s="1">
        <v>30</v>
      </c>
      <c r="D182" s="1"/>
      <c r="E182" s="1"/>
      <c r="F182" s="1">
        <f>+C182</f>
        <v>30</v>
      </c>
      <c r="G182" s="1"/>
      <c r="H182" s="1"/>
    </row>
    <row r="183" spans="2:8" x14ac:dyDescent="0.25">
      <c r="B183" s="1" t="s">
        <v>95</v>
      </c>
      <c r="C183" s="1">
        <v>31</v>
      </c>
      <c r="D183" s="1"/>
      <c r="E183" s="1"/>
      <c r="F183" s="1">
        <f>+C183</f>
        <v>31</v>
      </c>
      <c r="G183" s="1"/>
      <c r="H183" s="1"/>
    </row>
    <row r="184" spans="2:8" x14ac:dyDescent="0.25">
      <c r="B184" s="1" t="s">
        <v>96</v>
      </c>
      <c r="C184" s="1">
        <v>30</v>
      </c>
      <c r="D184" s="1"/>
      <c r="E184" s="1"/>
      <c r="F184" s="1">
        <f>+C184</f>
        <v>30</v>
      </c>
      <c r="G184" s="1"/>
      <c r="H184" s="1"/>
    </row>
    <row r="185" spans="2:8" x14ac:dyDescent="0.25">
      <c r="B185" s="1" t="s">
        <v>97</v>
      </c>
      <c r="C185" s="1">
        <v>31</v>
      </c>
      <c r="D185" s="1"/>
      <c r="E185" s="1"/>
      <c r="F185" s="1"/>
      <c r="G185" s="1">
        <f>+C185</f>
        <v>31</v>
      </c>
      <c r="H185" s="1"/>
    </row>
    <row r="186" spans="2:8" x14ac:dyDescent="0.25">
      <c r="B186" s="1" t="s">
        <v>98</v>
      </c>
      <c r="C186" s="1">
        <v>31</v>
      </c>
      <c r="D186" s="1"/>
      <c r="E186" s="1"/>
      <c r="F186" s="1"/>
      <c r="G186" s="1">
        <f>+C186</f>
        <v>31</v>
      </c>
      <c r="H186" s="1"/>
    </row>
    <row r="187" spans="2:8" x14ac:dyDescent="0.25">
      <c r="B187" s="1" t="s">
        <v>99</v>
      </c>
      <c r="C187" s="1">
        <v>30</v>
      </c>
      <c r="D187" s="1"/>
      <c r="E187" s="1"/>
      <c r="F187" s="1"/>
      <c r="G187" s="1">
        <f>+C187</f>
        <v>30</v>
      </c>
      <c r="H187" s="1"/>
    </row>
    <row r="188" spans="2:8" x14ac:dyDescent="0.25">
      <c r="B188" s="1" t="s">
        <v>100</v>
      </c>
      <c r="C188" s="1">
        <v>31</v>
      </c>
      <c r="D188" s="1"/>
      <c r="E188" s="1"/>
      <c r="F188" s="1"/>
      <c r="G188" s="1"/>
      <c r="H188" s="1">
        <f>+C188</f>
        <v>31</v>
      </c>
    </row>
    <row r="189" spans="2:8" x14ac:dyDescent="0.25">
      <c r="B189" s="1" t="s">
        <v>101</v>
      </c>
      <c r="C189" s="1">
        <v>30</v>
      </c>
      <c r="D189" s="1"/>
      <c r="E189" s="1"/>
      <c r="F189" s="1"/>
      <c r="G189" s="1"/>
      <c r="H189" s="1">
        <f>+C189</f>
        <v>30</v>
      </c>
    </row>
    <row r="190" spans="2:8" x14ac:dyDescent="0.25">
      <c r="B190" s="1" t="s">
        <v>102</v>
      </c>
      <c r="C190" s="1">
        <v>31</v>
      </c>
      <c r="D190" s="1"/>
      <c r="E190" s="1"/>
      <c r="F190" s="1"/>
      <c r="G190" s="1"/>
      <c r="H190" s="1">
        <f>+C190</f>
        <v>31</v>
      </c>
    </row>
    <row r="192" spans="2:8" x14ac:dyDescent="0.25">
      <c r="D192" s="1">
        <f>SUM(D178:D190)</f>
        <v>90</v>
      </c>
      <c r="E192" s="1">
        <f t="shared" ref="E192:H192" si="96">SUM(E178:E190)</f>
        <v>91</v>
      </c>
      <c r="F192" s="1">
        <f t="shared" si="96"/>
        <v>91</v>
      </c>
      <c r="G192" s="1">
        <f t="shared" si="96"/>
        <v>92</v>
      </c>
      <c r="H192" s="1">
        <f t="shared" si="96"/>
        <v>92</v>
      </c>
    </row>
    <row r="194" spans="3:9" ht="30" x14ac:dyDescent="0.25">
      <c r="C194" s="31" t="s">
        <v>108</v>
      </c>
      <c r="D194" s="31" t="s">
        <v>112</v>
      </c>
      <c r="E194" s="31" t="s">
        <v>109</v>
      </c>
      <c r="F194" s="31" t="s">
        <v>110</v>
      </c>
      <c r="G194" s="31" t="s">
        <v>111</v>
      </c>
      <c r="H194" s="31" t="s">
        <v>113</v>
      </c>
    </row>
    <row r="196" spans="3:9" x14ac:dyDescent="0.25">
      <c r="C196" s="1">
        <f>+D192+F192</f>
        <v>181</v>
      </c>
      <c r="D196" s="1">
        <f>+E192+F192</f>
        <v>182</v>
      </c>
      <c r="E196" s="1">
        <f>+F192+G192</f>
        <v>183</v>
      </c>
      <c r="F196" s="1">
        <f>+G192+H192</f>
        <v>184</v>
      </c>
      <c r="G196" s="1">
        <f>+H192+D192</f>
        <v>182</v>
      </c>
      <c r="H196" s="1">
        <f>+H192+E192</f>
        <v>183</v>
      </c>
    </row>
    <row r="198" spans="3:9" ht="30" x14ac:dyDescent="0.25">
      <c r="C198" s="31" t="s">
        <v>114</v>
      </c>
      <c r="D198" s="31" t="s">
        <v>115</v>
      </c>
      <c r="E198" s="31" t="s">
        <v>116</v>
      </c>
      <c r="F198" s="31" t="s">
        <v>117</v>
      </c>
      <c r="G198" s="31" t="s">
        <v>120</v>
      </c>
      <c r="H198" s="31" t="s">
        <v>118</v>
      </c>
      <c r="I198" s="29"/>
    </row>
    <row r="200" spans="3:9" x14ac:dyDescent="0.25">
      <c r="C200" s="1">
        <f>+D192+F192+G192</f>
        <v>273</v>
      </c>
      <c r="D200" s="1">
        <f>+E192+F192+G192</f>
        <v>274</v>
      </c>
      <c r="E200" s="1">
        <f>+F192+G192+H192</f>
        <v>275</v>
      </c>
      <c r="F200" s="1">
        <f>+G192+H192+D192</f>
        <v>274</v>
      </c>
      <c r="G200" s="1">
        <f>+G192+H192+E192</f>
        <v>275</v>
      </c>
      <c r="H200" s="1">
        <f>+H192+D192+F192</f>
        <v>273</v>
      </c>
    </row>
    <row r="202" spans="3:9" ht="45" x14ac:dyDescent="0.25">
      <c r="C202" s="31" t="s">
        <v>119</v>
      </c>
      <c r="D202" s="12" t="s">
        <v>122</v>
      </c>
      <c r="E202" s="12" t="s">
        <v>123</v>
      </c>
      <c r="F202" s="30"/>
    </row>
    <row r="204" spans="3:9" x14ac:dyDescent="0.25">
      <c r="C204" s="1">
        <f>+H192+E192+F192</f>
        <v>274</v>
      </c>
      <c r="D204" s="1">
        <f>+D192+F192+G192+H192</f>
        <v>365</v>
      </c>
      <c r="E204" s="1">
        <f>+E192+F192+G192+H192</f>
        <v>366</v>
      </c>
    </row>
  </sheetData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5"/>
  <sheetViews>
    <sheetView workbookViewId="0">
      <selection activeCell="P24" sqref="P24"/>
    </sheetView>
  </sheetViews>
  <sheetFormatPr defaultRowHeight="15" x14ac:dyDescent="0.25"/>
  <cols>
    <col min="1" max="1" width="4.28515625" customWidth="1"/>
    <col min="2" max="2" width="35" customWidth="1"/>
  </cols>
  <sheetData>
    <row r="2" spans="2:20" x14ac:dyDescent="0.25">
      <c r="B2" s="1" t="s">
        <v>57</v>
      </c>
      <c r="C2" s="44" t="s">
        <v>134</v>
      </c>
      <c r="D2" s="44" t="s">
        <v>21</v>
      </c>
      <c r="E2" s="44" t="s">
        <v>25</v>
      </c>
      <c r="F2" s="44" t="s">
        <v>26</v>
      </c>
      <c r="G2" s="44" t="s">
        <v>27</v>
      </c>
      <c r="H2" s="44" t="s">
        <v>28</v>
      </c>
      <c r="I2" s="44" t="s">
        <v>29</v>
      </c>
      <c r="J2" s="44" t="s">
        <v>30</v>
      </c>
      <c r="K2" s="44" t="s">
        <v>31</v>
      </c>
      <c r="L2" s="44" t="s">
        <v>32</v>
      </c>
      <c r="M2" s="44" t="s">
        <v>33</v>
      </c>
      <c r="N2" s="44" t="s">
        <v>34</v>
      </c>
      <c r="O2" s="44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</row>
    <row r="3" spans="2:20" x14ac:dyDescent="0.25">
      <c r="B3" s="1" t="s">
        <v>41</v>
      </c>
      <c r="C3" s="48">
        <f>+Enea!G93</f>
        <v>20.442762323305544</v>
      </c>
      <c r="D3" s="48">
        <f>+Enea!H93</f>
        <v>20.890571765132297</v>
      </c>
      <c r="E3" s="48">
        <f>+Enea!I93</f>
        <v>20.910576748822038</v>
      </c>
      <c r="F3" s="48">
        <f>+Enea!J93</f>
        <v>21.084550561797755</v>
      </c>
      <c r="G3" s="48">
        <f>+Enea!K93</f>
        <v>21.231940920623416</v>
      </c>
      <c r="H3" s="48">
        <f>+Enea!L93</f>
        <v>21.733170985864444</v>
      </c>
      <c r="I3" s="48">
        <f>+Enea!M93</f>
        <v>21.683306904675607</v>
      </c>
      <c r="J3" s="48">
        <f>+Enea!N93</f>
        <v>22.139670170351575</v>
      </c>
      <c r="K3" s="48">
        <f>+Enea!O93</f>
        <v>22.373303280173975</v>
      </c>
      <c r="L3" s="48">
        <f>+Enea!P93</f>
        <v>22.947231786879303</v>
      </c>
      <c r="M3" s="48">
        <f>+Enea!Q93</f>
        <v>22.876585719463577</v>
      </c>
      <c r="N3" s="48">
        <f>+Enea!R93</f>
        <v>23.571178416092788</v>
      </c>
      <c r="O3" s="48">
        <f>+Enea!S93</f>
        <v>23.739946538600943</v>
      </c>
      <c r="P3" s="48">
        <f>+Enea!T93</f>
        <v>24.324571855744836</v>
      </c>
      <c r="Q3" s="4">
        <f>+Enea!U93</f>
        <v>24.307654494382021</v>
      </c>
      <c r="R3" s="4">
        <f>+Enea!V93</f>
        <v>24.734124682856109</v>
      </c>
      <c r="S3" s="4">
        <f>+Enea!W93</f>
        <v>24.77865168539326</v>
      </c>
      <c r="T3" s="4">
        <f>+Enea!X93</f>
        <v>25.462989307720189</v>
      </c>
    </row>
    <row r="4" spans="2:20" x14ac:dyDescent="0.25">
      <c r="B4" s="1" t="s">
        <v>138</v>
      </c>
      <c r="C4" s="48">
        <f>-Enea!G117</f>
        <v>3.4387663102573396</v>
      </c>
      <c r="D4" s="48">
        <f>-Enea!H117</f>
        <v>3.4918743204059441</v>
      </c>
      <c r="E4" s="48">
        <f>-Enea!I117</f>
        <v>3.3686956324755348</v>
      </c>
      <c r="F4" s="48">
        <f>-Enea!J117</f>
        <v>3.3194545125045307</v>
      </c>
      <c r="G4" s="48">
        <f>-Enea!K117</f>
        <v>3.2855586263138816</v>
      </c>
      <c r="H4" s="48">
        <f>-Enea!L117</f>
        <v>3.2765245559985501</v>
      </c>
      <c r="I4" s="48">
        <f>-Enea!M117</f>
        <v>3.2732353207683946</v>
      </c>
      <c r="J4" s="48">
        <f>-Enea!N117</f>
        <v>3.2694545125045305</v>
      </c>
      <c r="K4" s="48">
        <f>-Enea!O117</f>
        <v>3.1124864081188837</v>
      </c>
      <c r="L4" s="48">
        <f>-Enea!P117</f>
        <v>3.1849401957230881</v>
      </c>
      <c r="M4" s="48">
        <f>-Enea!Q117</f>
        <v>3.2249592243566507</v>
      </c>
      <c r="N4" s="48">
        <f>-Enea!R117</f>
        <v>3.2601916455237405</v>
      </c>
      <c r="O4" s="48">
        <f>-Enea!S117</f>
        <v>3.2796824030445815</v>
      </c>
      <c r="P4" s="48">
        <f>-Enea!T117</f>
        <v>3.3071719826023922</v>
      </c>
      <c r="Q4" s="4">
        <f>-Enea!U117</f>
        <v>3.3534704603117071</v>
      </c>
      <c r="R4" s="4">
        <f>-Enea!V117</f>
        <v>3.3364488945270026</v>
      </c>
      <c r="S4" s="4">
        <f>-Enea!W117</f>
        <v>3.9609097499093875</v>
      </c>
      <c r="T4" s="4">
        <f>-Enea!X117</f>
        <v>3.9707548024646613</v>
      </c>
    </row>
    <row r="5" spans="2:20" x14ac:dyDescent="0.25">
      <c r="B5" s="1" t="s">
        <v>160</v>
      </c>
      <c r="C5" s="48">
        <f>+Enea!G121</f>
        <v>0</v>
      </c>
      <c r="D5" s="48">
        <f>+Enea!H121</f>
        <v>0</v>
      </c>
      <c r="E5" s="48">
        <f>+Enea!I121</f>
        <v>0</v>
      </c>
      <c r="F5" s="48">
        <f>+Enea!J121</f>
        <v>0.46</v>
      </c>
      <c r="G5" s="48">
        <f>+Enea!K121</f>
        <v>0.46</v>
      </c>
      <c r="H5" s="48">
        <f>+Enea!L121</f>
        <v>0.46</v>
      </c>
      <c r="I5" s="48">
        <f>+Enea!M121</f>
        <v>0.46</v>
      </c>
      <c r="J5" s="48">
        <f>+Enea!N121</f>
        <v>0.38</v>
      </c>
      <c r="K5" s="48">
        <f>+Enea!O121</f>
        <v>0.38</v>
      </c>
      <c r="L5" s="48">
        <f>+Enea!P121</f>
        <v>0.38</v>
      </c>
      <c r="M5" s="48">
        <f>+Enea!Q121</f>
        <v>0.38</v>
      </c>
      <c r="N5" s="48">
        <f>+Enea!R121</f>
        <v>0.44</v>
      </c>
      <c r="O5" s="48">
        <f>+Enea!S121</f>
        <v>0.44</v>
      </c>
      <c r="P5" s="48">
        <f>+Enea!T121</f>
        <v>0.44</v>
      </c>
      <c r="Q5" s="4">
        <f>+Enea!U121</f>
        <v>0.44</v>
      </c>
      <c r="R5" s="4">
        <f>+Enea!V121</f>
        <v>0.48</v>
      </c>
      <c r="S5" s="4">
        <f>+Enea!W121</f>
        <v>0.48</v>
      </c>
      <c r="T5" s="4">
        <f>+Enea!X121</f>
        <v>0.48</v>
      </c>
    </row>
    <row r="6" spans="2:20" x14ac:dyDescent="0.25">
      <c r="B6" s="1" t="s">
        <v>86</v>
      </c>
      <c r="C6" s="48" t="str">
        <f>+Enea!G122</f>
        <v>bd</v>
      </c>
      <c r="D6" s="48">
        <f>+Enea!H122</f>
        <v>-10.132446085538238</v>
      </c>
      <c r="E6" s="48">
        <f>+Enea!I122</f>
        <v>-6.8992723812975711</v>
      </c>
      <c r="F6" s="48">
        <f>+Enea!J122</f>
        <v>-1.5640050743022833</v>
      </c>
      <c r="G6" s="48">
        <f>+Enea!K122</f>
        <v>-3.5774995469372968</v>
      </c>
      <c r="H6" s="48">
        <f>+Enea!L122</f>
        <v>-6.7396955418629965</v>
      </c>
      <c r="I6" s="48">
        <f>+Enea!M122</f>
        <v>-7.8165422254439996</v>
      </c>
      <c r="J6" s="48">
        <f>+Enea!N122</f>
        <v>-4.8391246828561094</v>
      </c>
      <c r="K6" s="48">
        <f>+Enea!O122</f>
        <v>-2.1657896882928576</v>
      </c>
      <c r="L6" s="48">
        <f>+Enea!P122</f>
        <v>-5.3121719826023899</v>
      </c>
      <c r="M6" s="48">
        <f>+Enea!Q122</f>
        <v>-8.4815449438202215</v>
      </c>
      <c r="N6" s="48">
        <f>+Enea!R122</f>
        <v>-11.171370061616523</v>
      </c>
      <c r="O6" s="48">
        <f>+Enea!S122</f>
        <v>-9.4596289416455264</v>
      </c>
      <c r="P6" s="48">
        <f>+Enea!T122</f>
        <v>-11.021743838347231</v>
      </c>
      <c r="Q6" s="4">
        <f>+Enea!U122</f>
        <v>-12.23112495469373</v>
      </c>
      <c r="R6" s="4">
        <f>+Enea!V122</f>
        <v>-12.200573577383111</v>
      </c>
      <c r="S6" s="4">
        <f>+Enea!W122</f>
        <v>-13.489561435302647</v>
      </c>
      <c r="T6" s="4">
        <f>+Enea!X122</f>
        <v>-15.063744110184851</v>
      </c>
    </row>
    <row r="7" spans="2:20" x14ac:dyDescent="0.2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2:20" x14ac:dyDescent="0.25">
      <c r="B8" s="1" t="s">
        <v>87</v>
      </c>
      <c r="C8" s="4">
        <f t="shared" ref="C8:T8" si="0">SUM(C3:C7)</f>
        <v>23.881528633562883</v>
      </c>
      <c r="D8" s="4">
        <f t="shared" si="0"/>
        <v>14.250000000000004</v>
      </c>
      <c r="E8" s="4">
        <f t="shared" si="0"/>
        <v>17.380000000000003</v>
      </c>
      <c r="F8" s="4">
        <f t="shared" si="0"/>
        <v>23.300000000000004</v>
      </c>
      <c r="G8" s="4">
        <f t="shared" si="0"/>
        <v>21.400000000000002</v>
      </c>
      <c r="H8" s="4">
        <f t="shared" si="0"/>
        <v>18.729999999999997</v>
      </c>
      <c r="I8" s="4">
        <f t="shared" si="0"/>
        <v>17.600000000000005</v>
      </c>
      <c r="J8" s="4">
        <f t="shared" si="0"/>
        <v>20.949999999999996</v>
      </c>
      <c r="K8" s="4">
        <f t="shared" si="0"/>
        <v>23.7</v>
      </c>
      <c r="L8" s="4">
        <f t="shared" si="0"/>
        <v>21.2</v>
      </c>
      <c r="M8" s="4">
        <f t="shared" si="0"/>
        <v>18.000000000000007</v>
      </c>
      <c r="N8" s="4">
        <f t="shared" si="0"/>
        <v>16.100000000000009</v>
      </c>
      <c r="O8" s="4">
        <f t="shared" si="0"/>
        <v>18</v>
      </c>
      <c r="P8" s="4">
        <f t="shared" si="0"/>
        <v>17.049999999999997</v>
      </c>
      <c r="Q8" s="4">
        <f t="shared" si="0"/>
        <v>15.870000000000001</v>
      </c>
      <c r="R8" s="4">
        <f t="shared" si="0"/>
        <v>16.350000000000001</v>
      </c>
      <c r="S8" s="4">
        <f t="shared" si="0"/>
        <v>15.73</v>
      </c>
      <c r="T8" s="4">
        <f t="shared" si="0"/>
        <v>14.85</v>
      </c>
    </row>
    <row r="9" spans="2:20" x14ac:dyDescent="0.2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2:20" x14ac:dyDescent="0.25">
      <c r="B10" s="1" t="s">
        <v>161</v>
      </c>
      <c r="C10" s="4" t="str">
        <f>+Enea!G54</f>
        <v>bd</v>
      </c>
      <c r="D10" s="4">
        <f>+Enea!H54</f>
        <v>14.25</v>
      </c>
      <c r="E10" s="4">
        <f>+Enea!I54</f>
        <v>17.38</v>
      </c>
      <c r="F10" s="4">
        <f>+Enea!J54</f>
        <v>23.3</v>
      </c>
      <c r="G10" s="4">
        <f>+Enea!K54</f>
        <v>21.4</v>
      </c>
      <c r="H10" s="4">
        <f>+Enea!L54</f>
        <v>18.73</v>
      </c>
      <c r="I10" s="4">
        <f>+Enea!M54</f>
        <v>17.600000000000001</v>
      </c>
      <c r="J10" s="4">
        <f>+Enea!N54</f>
        <v>20.95</v>
      </c>
      <c r="K10" s="4">
        <f>+Enea!O54</f>
        <v>23.7</v>
      </c>
      <c r="L10" s="4">
        <f>+Enea!P54</f>
        <v>21.2</v>
      </c>
      <c r="M10" s="4">
        <f>+Enea!Q54</f>
        <v>18</v>
      </c>
      <c r="N10" s="4">
        <f>+Enea!R54</f>
        <v>16.100000000000001</v>
      </c>
      <c r="O10" s="4">
        <f>+Enea!S54</f>
        <v>18</v>
      </c>
      <c r="P10" s="4">
        <f>+Enea!T54</f>
        <v>17.05</v>
      </c>
      <c r="Q10" s="4">
        <f>+Enea!U54</f>
        <v>15.87</v>
      </c>
      <c r="R10" s="4">
        <f>+Enea!V54</f>
        <v>16.350000000000001</v>
      </c>
      <c r="S10" s="4">
        <f>+Enea!W54</f>
        <v>15.73</v>
      </c>
      <c r="T10" s="4">
        <f>+Enea!X54</f>
        <v>14.85</v>
      </c>
    </row>
    <row r="12" spans="2:20" x14ac:dyDescent="0.25">
      <c r="B12" s="1" t="s">
        <v>57</v>
      </c>
      <c r="C12" s="44" t="s">
        <v>134</v>
      </c>
      <c r="D12" s="44" t="s">
        <v>21</v>
      </c>
      <c r="E12" s="44" t="s">
        <v>25</v>
      </c>
      <c r="F12" s="44" t="s">
        <v>26</v>
      </c>
      <c r="G12" s="44" t="s">
        <v>27</v>
      </c>
      <c r="H12" s="44" t="s">
        <v>28</v>
      </c>
      <c r="I12" s="44" t="s">
        <v>29</v>
      </c>
      <c r="J12" s="44" t="s">
        <v>30</v>
      </c>
      <c r="K12" s="44" t="s">
        <v>31</v>
      </c>
      <c r="L12" s="44" t="s">
        <v>32</v>
      </c>
      <c r="M12" s="44" t="s">
        <v>33</v>
      </c>
      <c r="N12" s="44" t="s">
        <v>34</v>
      </c>
      <c r="O12" s="44" t="s">
        <v>35</v>
      </c>
      <c r="P12" s="44" t="s">
        <v>36</v>
      </c>
      <c r="Q12" s="44" t="s">
        <v>37</v>
      </c>
      <c r="R12" s="44" t="s">
        <v>38</v>
      </c>
      <c r="S12" s="44" t="s">
        <v>39</v>
      </c>
      <c r="T12" s="44" t="s">
        <v>40</v>
      </c>
    </row>
    <row r="13" spans="2:20" x14ac:dyDescent="0.25">
      <c r="B13" s="28" t="s">
        <v>160</v>
      </c>
      <c r="C13" s="48">
        <f t="shared" ref="C13:T13" si="1">+C5</f>
        <v>0</v>
      </c>
      <c r="D13" s="48">
        <f t="shared" si="1"/>
        <v>0</v>
      </c>
      <c r="E13" s="48">
        <f t="shared" si="1"/>
        <v>0</v>
      </c>
      <c r="F13" s="48">
        <f t="shared" si="1"/>
        <v>0.46</v>
      </c>
      <c r="G13" s="48">
        <f t="shared" si="1"/>
        <v>0.46</v>
      </c>
      <c r="H13" s="48">
        <f t="shared" si="1"/>
        <v>0.46</v>
      </c>
      <c r="I13" s="48">
        <f t="shared" si="1"/>
        <v>0.46</v>
      </c>
      <c r="J13" s="48">
        <f t="shared" si="1"/>
        <v>0.38</v>
      </c>
      <c r="K13" s="48">
        <f t="shared" si="1"/>
        <v>0.38</v>
      </c>
      <c r="L13" s="48">
        <f t="shared" si="1"/>
        <v>0.38</v>
      </c>
      <c r="M13" s="48">
        <f t="shared" si="1"/>
        <v>0.38</v>
      </c>
      <c r="N13" s="48">
        <f t="shared" si="1"/>
        <v>0.44</v>
      </c>
      <c r="O13" s="48">
        <f t="shared" si="1"/>
        <v>0.44</v>
      </c>
      <c r="P13" s="48">
        <f t="shared" si="1"/>
        <v>0.44</v>
      </c>
      <c r="Q13" s="48">
        <f t="shared" si="1"/>
        <v>0.44</v>
      </c>
      <c r="R13" s="48">
        <f t="shared" si="1"/>
        <v>0.48</v>
      </c>
      <c r="S13" s="48">
        <f t="shared" si="1"/>
        <v>0.48</v>
      </c>
      <c r="T13" s="48">
        <f t="shared" si="1"/>
        <v>0.48</v>
      </c>
    </row>
    <row r="14" spans="2:20" x14ac:dyDescent="0.25">
      <c r="B14" s="28" t="s">
        <v>167</v>
      </c>
      <c r="C14" s="48">
        <f t="shared" ref="C14:T14" si="2">+C8</f>
        <v>23.881528633562883</v>
      </c>
      <c r="D14" s="48">
        <f t="shared" si="2"/>
        <v>14.250000000000004</v>
      </c>
      <c r="E14" s="48">
        <f t="shared" si="2"/>
        <v>17.380000000000003</v>
      </c>
      <c r="F14" s="48">
        <f t="shared" si="2"/>
        <v>23.300000000000004</v>
      </c>
      <c r="G14" s="48">
        <f t="shared" si="2"/>
        <v>21.400000000000002</v>
      </c>
      <c r="H14" s="48">
        <f t="shared" si="2"/>
        <v>18.729999999999997</v>
      </c>
      <c r="I14" s="48">
        <f t="shared" si="2"/>
        <v>17.600000000000005</v>
      </c>
      <c r="J14" s="48">
        <f t="shared" si="2"/>
        <v>20.949999999999996</v>
      </c>
      <c r="K14" s="48">
        <f t="shared" si="2"/>
        <v>23.7</v>
      </c>
      <c r="L14" s="48">
        <f t="shared" si="2"/>
        <v>21.2</v>
      </c>
      <c r="M14" s="48">
        <f t="shared" si="2"/>
        <v>18.000000000000007</v>
      </c>
      <c r="N14" s="48">
        <f t="shared" si="2"/>
        <v>16.100000000000009</v>
      </c>
      <c r="O14" s="48">
        <f t="shared" si="2"/>
        <v>18</v>
      </c>
      <c r="P14" s="48">
        <f t="shared" si="2"/>
        <v>17.049999999999997</v>
      </c>
      <c r="Q14" s="48">
        <f t="shared" si="2"/>
        <v>15.870000000000001</v>
      </c>
      <c r="R14" s="48">
        <f t="shared" si="2"/>
        <v>16.350000000000001</v>
      </c>
      <c r="S14" s="48">
        <f t="shared" si="2"/>
        <v>15.73</v>
      </c>
      <c r="T14" s="48">
        <f t="shared" si="2"/>
        <v>14.85</v>
      </c>
    </row>
    <row r="15" spans="2:20" x14ac:dyDescent="0.25">
      <c r="B15" s="1" t="s">
        <v>166</v>
      </c>
      <c r="C15" s="48">
        <f>+C3</f>
        <v>20.442762323305544</v>
      </c>
      <c r="D15" s="48">
        <f t="shared" ref="D15:T15" si="3">+D3</f>
        <v>20.890571765132297</v>
      </c>
      <c r="E15" s="48">
        <f t="shared" si="3"/>
        <v>20.910576748822038</v>
      </c>
      <c r="F15" s="48">
        <f t="shared" si="3"/>
        <v>21.084550561797755</v>
      </c>
      <c r="G15" s="48">
        <f t="shared" si="3"/>
        <v>21.231940920623416</v>
      </c>
      <c r="H15" s="48">
        <f t="shared" si="3"/>
        <v>21.733170985864444</v>
      </c>
      <c r="I15" s="48">
        <f t="shared" si="3"/>
        <v>21.683306904675607</v>
      </c>
      <c r="J15" s="48">
        <f t="shared" si="3"/>
        <v>22.139670170351575</v>
      </c>
      <c r="K15" s="48">
        <f t="shared" si="3"/>
        <v>22.373303280173975</v>
      </c>
      <c r="L15" s="48">
        <f t="shared" si="3"/>
        <v>22.947231786879303</v>
      </c>
      <c r="M15" s="48">
        <f t="shared" si="3"/>
        <v>22.876585719463577</v>
      </c>
      <c r="N15" s="48">
        <f t="shared" si="3"/>
        <v>23.571178416092788</v>
      </c>
      <c r="O15" s="48">
        <f t="shared" si="3"/>
        <v>23.739946538600943</v>
      </c>
      <c r="P15" s="48">
        <f t="shared" si="3"/>
        <v>24.324571855744836</v>
      </c>
      <c r="Q15" s="48">
        <f t="shared" si="3"/>
        <v>24.307654494382021</v>
      </c>
      <c r="R15" s="48">
        <f t="shared" si="3"/>
        <v>24.734124682856109</v>
      </c>
      <c r="S15" s="48">
        <f t="shared" si="3"/>
        <v>24.77865168539326</v>
      </c>
      <c r="T15" s="48">
        <f t="shared" si="3"/>
        <v>25.462989307720189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Enea</vt:lpstr>
      <vt:lpstr>SCA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Admin3</cp:lastModifiedBy>
  <cp:lastPrinted>2014-06-20T07:06:41Z</cp:lastPrinted>
  <dcterms:created xsi:type="dcterms:W3CDTF">2014-05-20T15:27:54Z</dcterms:created>
  <dcterms:modified xsi:type="dcterms:W3CDTF">2014-06-20T12:48:42Z</dcterms:modified>
</cp:coreProperties>
</file>