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3\Desktop\Roj\wykresy\wskaznikowa\"/>
    </mc:Choice>
  </mc:AlternateContent>
  <bookViews>
    <workbookView xWindow="0" yWindow="0" windowWidth="24000" windowHeight="9735" activeTab="1"/>
  </bookViews>
  <sheets>
    <sheet name="CCC" sheetId="1" r:id="rId1"/>
    <sheet name="SCA" sheetId="1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31" i="1" l="1"/>
  <c r="W131" i="1"/>
  <c r="S6" i="11" s="1"/>
  <c r="V131" i="1"/>
  <c r="R6" i="11" s="1"/>
  <c r="U131" i="1"/>
  <c r="T131" i="1"/>
  <c r="S131" i="1"/>
  <c r="O6" i="11" s="1"/>
  <c r="R131" i="1"/>
  <c r="N6" i="11" s="1"/>
  <c r="Q131" i="1"/>
  <c r="P131" i="1"/>
  <c r="O131" i="1"/>
  <c r="K6" i="11" s="1"/>
  <c r="N131" i="1"/>
  <c r="J6" i="11" s="1"/>
  <c r="M131" i="1"/>
  <c r="L131" i="1"/>
  <c r="K131" i="1"/>
  <c r="G6" i="11" s="1"/>
  <c r="J131" i="1"/>
  <c r="F6" i="11" s="1"/>
  <c r="I131" i="1"/>
  <c r="H131" i="1"/>
  <c r="G131" i="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C3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T6" i="11"/>
  <c r="Q6" i="11"/>
  <c r="P6" i="11"/>
  <c r="M6" i="11"/>
  <c r="M8" i="11" s="1"/>
  <c r="L6" i="11"/>
  <c r="I6" i="11"/>
  <c r="H6" i="11"/>
  <c r="E6" i="11"/>
  <c r="E8" i="11" s="1"/>
  <c r="D6" i="11"/>
  <c r="C6" i="1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W128" i="1"/>
  <c r="S128" i="1"/>
  <c r="O128" i="1"/>
  <c r="K128" i="1"/>
  <c r="X126" i="1"/>
  <c r="X128" i="1" s="1"/>
  <c r="W126" i="1"/>
  <c r="V126" i="1"/>
  <c r="U126" i="1"/>
  <c r="T126" i="1"/>
  <c r="T128" i="1" s="1"/>
  <c r="S126" i="1"/>
  <c r="R126" i="1"/>
  <c r="Q126" i="1"/>
  <c r="P126" i="1"/>
  <c r="P128" i="1" s="1"/>
  <c r="O126" i="1"/>
  <c r="N126" i="1"/>
  <c r="M126" i="1"/>
  <c r="L126" i="1"/>
  <c r="L128" i="1" s="1"/>
  <c r="K126" i="1"/>
  <c r="J126" i="1"/>
  <c r="I126" i="1"/>
  <c r="H126" i="1"/>
  <c r="H128" i="1" s="1"/>
  <c r="X125" i="1"/>
  <c r="W125" i="1"/>
  <c r="V125" i="1"/>
  <c r="V128" i="1" s="1"/>
  <c r="U125" i="1"/>
  <c r="U128" i="1" s="1"/>
  <c r="T125" i="1"/>
  <c r="S125" i="1"/>
  <c r="R125" i="1"/>
  <c r="R128" i="1" s="1"/>
  <c r="Q125" i="1"/>
  <c r="Q128" i="1" s="1"/>
  <c r="P125" i="1"/>
  <c r="O125" i="1"/>
  <c r="N125" i="1"/>
  <c r="N128" i="1" s="1"/>
  <c r="M125" i="1"/>
  <c r="M128" i="1" s="1"/>
  <c r="L125" i="1"/>
  <c r="K125" i="1"/>
  <c r="J125" i="1"/>
  <c r="J128" i="1" s="1"/>
  <c r="I125" i="1"/>
  <c r="I128" i="1" s="1"/>
  <c r="H125" i="1"/>
  <c r="G126" i="1"/>
  <c r="G128" i="1" s="1"/>
  <c r="G125" i="1"/>
  <c r="G133" i="1"/>
  <c r="G130" i="1"/>
  <c r="L118" i="1"/>
  <c r="L117" i="1"/>
  <c r="L116" i="1"/>
  <c r="L115" i="1"/>
  <c r="L114" i="1"/>
  <c r="L113" i="1"/>
  <c r="L121" i="1" s="1"/>
  <c r="J118" i="1"/>
  <c r="J117" i="1"/>
  <c r="J116" i="1"/>
  <c r="J115" i="1"/>
  <c r="J114" i="1"/>
  <c r="J113" i="1"/>
  <c r="J121" i="1" s="1"/>
  <c r="I118" i="1"/>
  <c r="I117" i="1"/>
  <c r="I116" i="1"/>
  <c r="I115" i="1"/>
  <c r="I114" i="1"/>
  <c r="I113" i="1"/>
  <c r="I121" i="1" s="1"/>
  <c r="G118" i="1"/>
  <c r="G117" i="1"/>
  <c r="G116" i="1"/>
  <c r="G120" i="1" s="1"/>
  <c r="G115" i="1"/>
  <c r="G114" i="1"/>
  <c r="G113" i="1"/>
  <c r="G121" i="1" s="1"/>
  <c r="D8" i="11" l="1"/>
  <c r="L8" i="11"/>
  <c r="T8" i="11"/>
  <c r="K8" i="11"/>
  <c r="O8" i="11"/>
  <c r="C8" i="11"/>
  <c r="I8" i="11"/>
  <c r="Q8" i="11"/>
  <c r="F8" i="11"/>
  <c r="J8" i="11"/>
  <c r="N8" i="11"/>
  <c r="R8" i="11"/>
  <c r="G8" i="11"/>
  <c r="S8" i="11"/>
  <c r="H8" i="11"/>
  <c r="P8" i="11"/>
  <c r="L120" i="1"/>
  <c r="J120" i="1"/>
  <c r="I120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K118" i="1"/>
  <c r="H118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K117" i="1"/>
  <c r="H117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K116" i="1"/>
  <c r="H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K115" i="1"/>
  <c r="H115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K114" i="1"/>
  <c r="H114" i="1"/>
  <c r="X113" i="1"/>
  <c r="X121" i="1" s="1"/>
  <c r="W113" i="1"/>
  <c r="W121" i="1" s="1"/>
  <c r="V113" i="1"/>
  <c r="V121" i="1" s="1"/>
  <c r="U113" i="1"/>
  <c r="U121" i="1" s="1"/>
  <c r="T113" i="1"/>
  <c r="T121" i="1" s="1"/>
  <c r="S113" i="1"/>
  <c r="S121" i="1" s="1"/>
  <c r="R113" i="1"/>
  <c r="R121" i="1" s="1"/>
  <c r="Q113" i="1"/>
  <c r="Q121" i="1" s="1"/>
  <c r="P113" i="1"/>
  <c r="P121" i="1" s="1"/>
  <c r="O113" i="1"/>
  <c r="O121" i="1" s="1"/>
  <c r="N113" i="1"/>
  <c r="N121" i="1" s="1"/>
  <c r="M113" i="1"/>
  <c r="M121" i="1" s="1"/>
  <c r="K113" i="1"/>
  <c r="K121" i="1" s="1"/>
  <c r="H113" i="1"/>
  <c r="H121" i="1" s="1"/>
  <c r="M120" i="1" l="1"/>
  <c r="Q120" i="1"/>
  <c r="U120" i="1"/>
  <c r="N120" i="1"/>
  <c r="R120" i="1"/>
  <c r="V120" i="1"/>
  <c r="H120" i="1"/>
  <c r="O120" i="1"/>
  <c r="S120" i="1"/>
  <c r="W120" i="1"/>
  <c r="K120" i="1"/>
  <c r="P120" i="1"/>
  <c r="T120" i="1"/>
  <c r="X120" i="1"/>
  <c r="X64" i="1"/>
  <c r="W64" i="1"/>
  <c r="V108" i="1" s="1"/>
  <c r="W108" i="1" s="1"/>
  <c r="X108" i="1" s="1"/>
  <c r="V64" i="1"/>
  <c r="U64" i="1"/>
  <c r="T64" i="1"/>
  <c r="S64" i="1"/>
  <c r="R108" i="1" s="1"/>
  <c r="S108" i="1" s="1"/>
  <c r="T108" i="1" s="1"/>
  <c r="U108" i="1" s="1"/>
  <c r="R64" i="1"/>
  <c r="Q64" i="1"/>
  <c r="P64" i="1"/>
  <c r="O64" i="1"/>
  <c r="N108" i="1" s="1"/>
  <c r="O108" i="1" s="1"/>
  <c r="P108" i="1" s="1"/>
  <c r="Q108" i="1" s="1"/>
  <c r="N64" i="1"/>
  <c r="M64" i="1"/>
  <c r="L64" i="1"/>
  <c r="K64" i="1"/>
  <c r="J64" i="1"/>
  <c r="J108" i="1" s="1"/>
  <c r="K108" i="1" s="1"/>
  <c r="L108" i="1" s="1"/>
  <c r="M108" i="1" s="1"/>
  <c r="I64" i="1"/>
  <c r="X102" i="1" l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I102" i="1"/>
  <c r="H102" i="1"/>
  <c r="G102" i="1"/>
  <c r="J102" i="1" l="1"/>
  <c r="X9" i="1" l="1"/>
  <c r="X12" i="1"/>
  <c r="X18" i="1"/>
  <c r="X24" i="1" s="1"/>
  <c r="X21" i="1"/>
  <c r="X28" i="1"/>
  <c r="X29" i="1"/>
  <c r="X36" i="1"/>
  <c r="X38" i="1"/>
  <c r="X40" i="1"/>
  <c r="X50" i="1"/>
  <c r="X51" i="1"/>
  <c r="X56" i="1"/>
  <c r="X62" i="1"/>
  <c r="X63" i="1"/>
  <c r="X68" i="1"/>
  <c r="X69" i="1"/>
  <c r="X70" i="1"/>
  <c r="X71" i="1"/>
  <c r="X109" i="1" l="1"/>
  <c r="X104" i="1"/>
  <c r="X105" i="1"/>
  <c r="X31" i="1"/>
  <c r="X89" i="1"/>
  <c r="X26" i="1"/>
  <c r="X88" i="1"/>
  <c r="G71" i="1" l="1"/>
  <c r="H71" i="1"/>
  <c r="I71" i="1"/>
  <c r="J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Z40" i="1" l="1"/>
  <c r="Z38" i="1"/>
  <c r="Z36" i="1"/>
  <c r="H199" i="1" l="1"/>
  <c r="H198" i="1"/>
  <c r="H197" i="1"/>
  <c r="G196" i="1"/>
  <c r="G195" i="1"/>
  <c r="G194" i="1"/>
  <c r="F193" i="1"/>
  <c r="F192" i="1"/>
  <c r="F191" i="1"/>
  <c r="E190" i="1"/>
  <c r="E189" i="1"/>
  <c r="E187" i="1"/>
  <c r="D190" i="1"/>
  <c r="D188" i="1"/>
  <c r="D187" i="1"/>
  <c r="E201" i="1" l="1"/>
  <c r="H201" i="1"/>
  <c r="D201" i="1"/>
  <c r="G201" i="1"/>
  <c r="F201" i="1"/>
  <c r="F205" i="1" l="1"/>
  <c r="D205" i="1"/>
  <c r="C209" i="1"/>
  <c r="G209" i="1"/>
  <c r="G205" i="1"/>
  <c r="C213" i="1"/>
  <c r="F209" i="1"/>
  <c r="H205" i="1"/>
  <c r="H209" i="1"/>
  <c r="E209" i="1"/>
  <c r="D209" i="1"/>
  <c r="D213" i="1"/>
  <c r="E205" i="1"/>
  <c r="E213" i="1"/>
  <c r="C205" i="1"/>
  <c r="G69" i="1" l="1"/>
  <c r="G68" i="1"/>
  <c r="H69" i="1"/>
  <c r="H68" i="1"/>
  <c r="I69" i="1"/>
  <c r="I68" i="1"/>
  <c r="J69" i="1"/>
  <c r="J68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W63" i="1" l="1"/>
  <c r="W62" i="1"/>
  <c r="V63" i="1"/>
  <c r="G149" i="1" s="1"/>
  <c r="V62" i="1"/>
  <c r="U63" i="1"/>
  <c r="G148" i="1" s="1"/>
  <c r="U62" i="1"/>
  <c r="T63" i="1"/>
  <c r="G147" i="1" s="1"/>
  <c r="T62" i="1"/>
  <c r="S63" i="1"/>
  <c r="F150" i="1" s="1"/>
  <c r="S62" i="1"/>
  <c r="R63" i="1"/>
  <c r="F149" i="1" s="1"/>
  <c r="R62" i="1"/>
  <c r="Q63" i="1"/>
  <c r="F148" i="1" s="1"/>
  <c r="Q62" i="1"/>
  <c r="P63" i="1"/>
  <c r="F147" i="1" s="1"/>
  <c r="P62" i="1"/>
  <c r="O63" i="1"/>
  <c r="E150" i="1" s="1"/>
  <c r="O62" i="1"/>
  <c r="N63" i="1"/>
  <c r="E149" i="1" s="1"/>
  <c r="N62" i="1"/>
  <c r="M63" i="1"/>
  <c r="E148" i="1" s="1"/>
  <c r="M62" i="1"/>
  <c r="L63" i="1"/>
  <c r="E147" i="1" s="1"/>
  <c r="L62" i="1"/>
  <c r="K63" i="1"/>
  <c r="D150" i="1" s="1"/>
  <c r="K62" i="1"/>
  <c r="J63" i="1"/>
  <c r="D149" i="1" s="1"/>
  <c r="I149" i="1" s="1"/>
  <c r="J62" i="1"/>
  <c r="J109" i="1" s="1"/>
  <c r="I63" i="1"/>
  <c r="D148" i="1" s="1"/>
  <c r="I148" i="1" s="1"/>
  <c r="I62" i="1"/>
  <c r="H63" i="1"/>
  <c r="D147" i="1" s="1"/>
  <c r="H62" i="1"/>
  <c r="G63" i="1"/>
  <c r="G62" i="1"/>
  <c r="G104" i="1" l="1"/>
  <c r="G105" i="1"/>
  <c r="K104" i="1"/>
  <c r="K109" i="1"/>
  <c r="K105" i="1"/>
  <c r="W104" i="1"/>
  <c r="W109" i="1"/>
  <c r="W105" i="1"/>
  <c r="H104" i="1"/>
  <c r="H105" i="1"/>
  <c r="L109" i="1"/>
  <c r="L104" i="1"/>
  <c r="L105" i="1"/>
  <c r="N109" i="1"/>
  <c r="N104" i="1"/>
  <c r="N105" i="1"/>
  <c r="P109" i="1"/>
  <c r="P104" i="1"/>
  <c r="P105" i="1"/>
  <c r="R104" i="1"/>
  <c r="R109" i="1"/>
  <c r="R105" i="1"/>
  <c r="T109" i="1"/>
  <c r="T104" i="1"/>
  <c r="T105" i="1"/>
  <c r="V104" i="1"/>
  <c r="V109" i="1"/>
  <c r="V105" i="1"/>
  <c r="I104" i="1"/>
  <c r="I105" i="1"/>
  <c r="M109" i="1"/>
  <c r="M104" i="1"/>
  <c r="M105" i="1"/>
  <c r="O104" i="1"/>
  <c r="O109" i="1"/>
  <c r="O105" i="1"/>
  <c r="Q104" i="1"/>
  <c r="Q109" i="1"/>
  <c r="Q105" i="1"/>
  <c r="S104" i="1"/>
  <c r="S109" i="1"/>
  <c r="S105" i="1"/>
  <c r="U109" i="1"/>
  <c r="U104" i="1"/>
  <c r="U105" i="1"/>
  <c r="J105" i="1"/>
  <c r="J104" i="1"/>
  <c r="E152" i="1"/>
  <c r="G152" i="1"/>
  <c r="F152" i="1"/>
  <c r="D152" i="1"/>
  <c r="I147" i="1"/>
  <c r="H150" i="1"/>
  <c r="I150" i="1"/>
  <c r="H147" i="1"/>
  <c r="H148" i="1"/>
  <c r="J148" i="1" s="1"/>
  <c r="H149" i="1"/>
  <c r="J149" i="1" s="1"/>
  <c r="G137" i="1"/>
  <c r="F137" i="1"/>
  <c r="E137" i="1"/>
  <c r="D137" i="1"/>
  <c r="H30" i="1"/>
  <c r="T29" i="1"/>
  <c r="P29" i="1"/>
  <c r="L29" i="1"/>
  <c r="H29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U37" i="1"/>
  <c r="Q37" i="1"/>
  <c r="M37" i="1"/>
  <c r="I37" i="1"/>
  <c r="R37" i="1" l="1"/>
  <c r="V37" i="1"/>
  <c r="N37" i="1"/>
  <c r="J37" i="1"/>
  <c r="H152" i="1"/>
  <c r="I137" i="1"/>
  <c r="J150" i="1"/>
  <c r="L31" i="1"/>
  <c r="H153" i="1"/>
  <c r="J147" i="1"/>
  <c r="P31" i="1"/>
  <c r="T31" i="1"/>
  <c r="H31" i="1"/>
  <c r="H137" i="1"/>
  <c r="U41" i="1"/>
  <c r="U39" i="1"/>
  <c r="V39" i="1" s="1"/>
  <c r="W39" i="1" s="1"/>
  <c r="U35" i="1"/>
  <c r="Q41" i="1"/>
  <c r="Q39" i="1"/>
  <c r="R39" i="1" s="1"/>
  <c r="S39" i="1" s="1"/>
  <c r="Q35" i="1"/>
  <c r="M41" i="1"/>
  <c r="M39" i="1"/>
  <c r="N39" i="1" s="1"/>
  <c r="O39" i="1" s="1"/>
  <c r="M35" i="1"/>
  <c r="I41" i="1"/>
  <c r="I39" i="1"/>
  <c r="J39" i="1" s="1"/>
  <c r="I35" i="1"/>
  <c r="I51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T40" i="1"/>
  <c r="G177" i="1" s="1"/>
  <c r="P40" i="1"/>
  <c r="F177" i="1" s="1"/>
  <c r="L40" i="1"/>
  <c r="E177" i="1" s="1"/>
  <c r="T38" i="1"/>
  <c r="P38" i="1"/>
  <c r="L38" i="1"/>
  <c r="T36" i="1"/>
  <c r="P36" i="1"/>
  <c r="L36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F138" i="1" l="1"/>
  <c r="N35" i="1"/>
  <c r="G138" i="1"/>
  <c r="D138" i="1"/>
  <c r="L24" i="1"/>
  <c r="L26" i="1" s="1"/>
  <c r="L89" i="1"/>
  <c r="L88" i="1"/>
  <c r="I24" i="1"/>
  <c r="I26" i="1" s="1"/>
  <c r="I88" i="1"/>
  <c r="I89" i="1"/>
  <c r="M24" i="1"/>
  <c r="M26" i="1" s="1"/>
  <c r="M88" i="1"/>
  <c r="M89" i="1"/>
  <c r="Q24" i="1"/>
  <c r="Q26" i="1" s="1"/>
  <c r="Q88" i="1"/>
  <c r="Q89" i="1"/>
  <c r="U24" i="1"/>
  <c r="U26" i="1" s="1"/>
  <c r="U88" i="1"/>
  <c r="U89" i="1"/>
  <c r="E167" i="1"/>
  <c r="Q29" i="1"/>
  <c r="Q31" i="1" s="1"/>
  <c r="O37" i="1"/>
  <c r="R90" i="1" s="1"/>
  <c r="T24" i="1"/>
  <c r="T26" i="1" s="1"/>
  <c r="T89" i="1"/>
  <c r="T88" i="1"/>
  <c r="J24" i="1"/>
  <c r="J26" i="1" s="1"/>
  <c r="J88" i="1"/>
  <c r="J89" i="1"/>
  <c r="N24" i="1"/>
  <c r="N26" i="1" s="1"/>
  <c r="N89" i="1"/>
  <c r="N88" i="1"/>
  <c r="R24" i="1"/>
  <c r="R26" i="1" s="1"/>
  <c r="R88" i="1"/>
  <c r="R89" i="1"/>
  <c r="V24" i="1"/>
  <c r="V26" i="1" s="1"/>
  <c r="V89" i="1"/>
  <c r="V88" i="1"/>
  <c r="F167" i="1"/>
  <c r="M29" i="1"/>
  <c r="M31" i="1" s="1"/>
  <c r="K37" i="1"/>
  <c r="P24" i="1"/>
  <c r="P26" i="1" s="1"/>
  <c r="P89" i="1"/>
  <c r="P88" i="1"/>
  <c r="U29" i="1"/>
  <c r="U31" i="1" s="1"/>
  <c r="W37" i="1"/>
  <c r="K24" i="1"/>
  <c r="K26" i="1" s="1"/>
  <c r="K89" i="1"/>
  <c r="K88" i="1"/>
  <c r="O24" i="1"/>
  <c r="O26" i="1" s="1"/>
  <c r="O88" i="1"/>
  <c r="O89" i="1"/>
  <c r="S24" i="1"/>
  <c r="S26" i="1" s="1"/>
  <c r="S89" i="1"/>
  <c r="S88" i="1"/>
  <c r="W24" i="1"/>
  <c r="W26" i="1" s="1"/>
  <c r="W88" i="1"/>
  <c r="W89" i="1"/>
  <c r="G167" i="1"/>
  <c r="I29" i="1"/>
  <c r="I31" i="1" s="1"/>
  <c r="S37" i="1"/>
  <c r="V90" i="1" s="1"/>
  <c r="F157" i="1"/>
  <c r="E157" i="1"/>
  <c r="G157" i="1"/>
  <c r="J137" i="1"/>
  <c r="V41" i="1"/>
  <c r="I38" i="1"/>
  <c r="J152" i="1"/>
  <c r="K147" i="1" s="1"/>
  <c r="I40" i="1"/>
  <c r="D178" i="1" s="1"/>
  <c r="V35" i="1"/>
  <c r="N41" i="1"/>
  <c r="K39" i="1"/>
  <c r="J38" i="1"/>
  <c r="J35" i="1"/>
  <c r="O35" i="1"/>
  <c r="Q40" i="1"/>
  <c r="F178" i="1" s="1"/>
  <c r="R41" i="1"/>
  <c r="W35" i="1"/>
  <c r="I36" i="1"/>
  <c r="M36" i="1"/>
  <c r="E138" i="1"/>
  <c r="R35" i="1"/>
  <c r="J41" i="1"/>
  <c r="Q36" i="1"/>
  <c r="U40" i="1"/>
  <c r="G178" i="1" s="1"/>
  <c r="U38" i="1"/>
  <c r="U36" i="1"/>
  <c r="R38" i="1"/>
  <c r="Q38" i="1"/>
  <c r="M40" i="1"/>
  <c r="E178" i="1" s="1"/>
  <c r="N38" i="1"/>
  <c r="M38" i="1"/>
  <c r="H51" i="1"/>
  <c r="H36" i="1"/>
  <c r="H21" i="1"/>
  <c r="H18" i="1"/>
  <c r="H12" i="1"/>
  <c r="H9" i="1"/>
  <c r="H56" i="1"/>
  <c r="H50" i="1"/>
  <c r="H40" i="1"/>
  <c r="D177" i="1" s="1"/>
  <c r="H38" i="1"/>
  <c r="G56" i="1"/>
  <c r="G50" i="1"/>
  <c r="E139" i="1" l="1"/>
  <c r="E140" i="1"/>
  <c r="X75" i="1"/>
  <c r="G139" i="1"/>
  <c r="G142" i="1" s="1"/>
  <c r="X81" i="1"/>
  <c r="X90" i="1"/>
  <c r="E169" i="1"/>
  <c r="L90" i="1"/>
  <c r="K90" i="1"/>
  <c r="M90" i="1"/>
  <c r="D167" i="1"/>
  <c r="H167" i="1" s="1"/>
  <c r="G168" i="1"/>
  <c r="R75" i="1"/>
  <c r="V29" i="1"/>
  <c r="V31" i="1" s="1"/>
  <c r="N90" i="1"/>
  <c r="D168" i="1"/>
  <c r="T90" i="1"/>
  <c r="S90" i="1"/>
  <c r="U90" i="1"/>
  <c r="F168" i="1"/>
  <c r="R40" i="1"/>
  <c r="F179" i="1" s="1"/>
  <c r="D169" i="1"/>
  <c r="H178" i="1"/>
  <c r="I178" i="1"/>
  <c r="R81" i="1"/>
  <c r="W90" i="1"/>
  <c r="W81" i="1"/>
  <c r="P90" i="1"/>
  <c r="O90" i="1"/>
  <c r="P81" i="1"/>
  <c r="O81" i="1"/>
  <c r="Q90" i="1"/>
  <c r="Q81" i="1"/>
  <c r="N29" i="1"/>
  <c r="N31" i="1" s="1"/>
  <c r="I177" i="1"/>
  <c r="H177" i="1"/>
  <c r="H89" i="1"/>
  <c r="H88" i="1"/>
  <c r="E168" i="1"/>
  <c r="F169" i="1"/>
  <c r="W36" i="1"/>
  <c r="W75" i="1"/>
  <c r="F158" i="1"/>
  <c r="E158" i="1"/>
  <c r="P75" i="1"/>
  <c r="G158" i="1"/>
  <c r="D158" i="1"/>
  <c r="O75" i="1"/>
  <c r="D157" i="1"/>
  <c r="Q75" i="1"/>
  <c r="N40" i="1"/>
  <c r="E179" i="1" s="1"/>
  <c r="V36" i="1"/>
  <c r="W41" i="1"/>
  <c r="O41" i="1"/>
  <c r="R103" i="1" s="1"/>
  <c r="R106" i="1" s="1"/>
  <c r="K149" i="1"/>
  <c r="K150" i="1"/>
  <c r="K148" i="1"/>
  <c r="I138" i="1"/>
  <c r="H138" i="1"/>
  <c r="D139" i="1"/>
  <c r="J36" i="1"/>
  <c r="K35" i="1"/>
  <c r="K38" i="1"/>
  <c r="J29" i="1"/>
  <c r="J31" i="1" s="1"/>
  <c r="K41" i="1"/>
  <c r="N103" i="1" s="1"/>
  <c r="N106" i="1" s="1"/>
  <c r="F139" i="1"/>
  <c r="S35" i="1"/>
  <c r="R29" i="1"/>
  <c r="R31" i="1" s="1"/>
  <c r="S41" i="1"/>
  <c r="J40" i="1"/>
  <c r="D179" i="1" s="1"/>
  <c r="V40" i="1"/>
  <c r="G179" i="1" s="1"/>
  <c r="G182" i="1" s="1"/>
  <c r="V38" i="1"/>
  <c r="R36" i="1"/>
  <c r="S38" i="1"/>
  <c r="U91" i="1" s="1"/>
  <c r="O36" i="1"/>
  <c r="N36" i="1"/>
  <c r="O38" i="1"/>
  <c r="R91" i="1" s="1"/>
  <c r="R92" i="1" s="1"/>
  <c r="H24" i="1"/>
  <c r="H26" i="1" s="1"/>
  <c r="O40" i="1" l="1"/>
  <c r="E180" i="1" s="1"/>
  <c r="W96" i="1"/>
  <c r="E142" i="1"/>
  <c r="P96" i="1"/>
  <c r="X103" i="1"/>
  <c r="X106" i="1" s="1"/>
  <c r="W103" i="1"/>
  <c r="W106" i="1" s="1"/>
  <c r="R96" i="1"/>
  <c r="T103" i="1"/>
  <c r="T106" i="1" s="1"/>
  <c r="S103" i="1"/>
  <c r="U103" i="1"/>
  <c r="U106" i="1" s="1"/>
  <c r="N83" i="1"/>
  <c r="L103" i="1"/>
  <c r="L106" i="1" s="1"/>
  <c r="K103" i="1"/>
  <c r="M103" i="1"/>
  <c r="M106" i="1" s="1"/>
  <c r="P103" i="1"/>
  <c r="P106" i="1" s="1"/>
  <c r="O103" i="1"/>
  <c r="Q103" i="1"/>
  <c r="Q106" i="1" s="1"/>
  <c r="V103" i="1"/>
  <c r="V106" i="1" s="1"/>
  <c r="O96" i="1"/>
  <c r="U81" i="1"/>
  <c r="X96" i="1"/>
  <c r="Q96" i="1"/>
  <c r="U92" i="1"/>
  <c r="K81" i="1"/>
  <c r="H168" i="1"/>
  <c r="X83" i="1"/>
  <c r="X82" i="1"/>
  <c r="X84" i="1"/>
  <c r="X76" i="1"/>
  <c r="X77" i="1"/>
  <c r="Q91" i="1"/>
  <c r="Q92" i="1" s="1"/>
  <c r="E182" i="1"/>
  <c r="I167" i="1"/>
  <c r="J167" i="1" s="1"/>
  <c r="S81" i="1"/>
  <c r="L81" i="1"/>
  <c r="N81" i="1"/>
  <c r="S29" i="1"/>
  <c r="S31" i="1" s="1"/>
  <c r="S82" i="1"/>
  <c r="T84" i="1"/>
  <c r="S83" i="1"/>
  <c r="T82" i="1"/>
  <c r="S84" i="1"/>
  <c r="T83" i="1"/>
  <c r="U82" i="1"/>
  <c r="U84" i="1"/>
  <c r="U83" i="1"/>
  <c r="O29" i="1"/>
  <c r="O31" i="1" s="1"/>
  <c r="O82" i="1"/>
  <c r="P84" i="1"/>
  <c r="O84" i="1"/>
  <c r="P83" i="1"/>
  <c r="O83" i="1"/>
  <c r="P82" i="1"/>
  <c r="Q82" i="1"/>
  <c r="Q83" i="1"/>
  <c r="Q84" i="1"/>
  <c r="R84" i="1"/>
  <c r="V82" i="1"/>
  <c r="G169" i="1"/>
  <c r="I169" i="1" s="1"/>
  <c r="V91" i="1"/>
  <c r="V92" i="1" s="1"/>
  <c r="W29" i="1"/>
  <c r="W31" i="1" s="1"/>
  <c r="W82" i="1"/>
  <c r="W84" i="1"/>
  <c r="W83" i="1"/>
  <c r="J178" i="1"/>
  <c r="R82" i="1"/>
  <c r="T81" i="1"/>
  <c r="V83" i="1"/>
  <c r="D170" i="1"/>
  <c r="D172" i="1" s="1"/>
  <c r="K91" i="1"/>
  <c r="K92" i="1" s="1"/>
  <c r="L91" i="1"/>
  <c r="L92" i="1" s="1"/>
  <c r="I168" i="1"/>
  <c r="V81" i="1"/>
  <c r="R83" i="1"/>
  <c r="M81" i="1"/>
  <c r="K29" i="1"/>
  <c r="K31" i="1" s="1"/>
  <c r="K82" i="1"/>
  <c r="L84" i="1"/>
  <c r="L82" i="1"/>
  <c r="K84" i="1"/>
  <c r="L83" i="1"/>
  <c r="K83" i="1"/>
  <c r="M84" i="1"/>
  <c r="M83" i="1"/>
  <c r="M82" i="1"/>
  <c r="N82" i="1"/>
  <c r="E170" i="1"/>
  <c r="E172" i="1" s="1"/>
  <c r="O91" i="1"/>
  <c r="O92" i="1" s="1"/>
  <c r="P91" i="1"/>
  <c r="P92" i="1" s="1"/>
  <c r="F170" i="1"/>
  <c r="F172" i="1" s="1"/>
  <c r="S91" i="1"/>
  <c r="S92" i="1" s="1"/>
  <c r="T91" i="1"/>
  <c r="T92" i="1" s="1"/>
  <c r="H179" i="1"/>
  <c r="I179" i="1"/>
  <c r="M91" i="1"/>
  <c r="M92" i="1" s="1"/>
  <c r="J177" i="1"/>
  <c r="N84" i="1"/>
  <c r="V84" i="1"/>
  <c r="N91" i="1"/>
  <c r="N92" i="1" s="1"/>
  <c r="E159" i="1"/>
  <c r="Q77" i="1"/>
  <c r="O76" i="1"/>
  <c r="E160" i="1"/>
  <c r="O77" i="1"/>
  <c r="P76" i="1"/>
  <c r="P77" i="1"/>
  <c r="F140" i="1"/>
  <c r="F142" i="1" s="1"/>
  <c r="S75" i="1"/>
  <c r="T75" i="1"/>
  <c r="U75" i="1"/>
  <c r="V75" i="1"/>
  <c r="G159" i="1"/>
  <c r="G162" i="1" s="1"/>
  <c r="W77" i="1"/>
  <c r="H158" i="1"/>
  <c r="I158" i="1"/>
  <c r="Q76" i="1"/>
  <c r="M75" i="1"/>
  <c r="L75" i="1"/>
  <c r="N75" i="1"/>
  <c r="W76" i="1"/>
  <c r="R76" i="1"/>
  <c r="F159" i="1"/>
  <c r="R77" i="1"/>
  <c r="D159" i="1"/>
  <c r="I157" i="1"/>
  <c r="H157" i="1"/>
  <c r="K152" i="1"/>
  <c r="I139" i="1"/>
  <c r="J138" i="1"/>
  <c r="K40" i="1"/>
  <c r="D180" i="1" s="1"/>
  <c r="S40" i="1"/>
  <c r="F180" i="1" s="1"/>
  <c r="F182" i="1" s="1"/>
  <c r="S36" i="1"/>
  <c r="V76" i="1" s="1"/>
  <c r="K36" i="1"/>
  <c r="N76" i="1" s="1"/>
  <c r="D140" i="1"/>
  <c r="H139" i="1"/>
  <c r="W38" i="1"/>
  <c r="X91" i="1" s="1"/>
  <c r="X92" i="1" s="1"/>
  <c r="W40" i="1"/>
  <c r="G21" i="1"/>
  <c r="G18" i="1"/>
  <c r="G12" i="1"/>
  <c r="G9" i="1"/>
  <c r="R107" i="1" l="1"/>
  <c r="S107" i="1" s="1"/>
  <c r="T107" i="1" s="1"/>
  <c r="U107" i="1" s="1"/>
  <c r="O106" i="1"/>
  <c r="N97" i="1"/>
  <c r="K97" i="1"/>
  <c r="Q97" i="1"/>
  <c r="Q98" i="1" s="1"/>
  <c r="X97" i="1"/>
  <c r="X98" i="1" s="1"/>
  <c r="K106" i="1"/>
  <c r="N107" i="1"/>
  <c r="O107" i="1" s="1"/>
  <c r="P107" i="1" s="1"/>
  <c r="Q107" i="1" s="1"/>
  <c r="V107" i="1"/>
  <c r="W107" i="1" s="1"/>
  <c r="X107" i="1" s="1"/>
  <c r="S106" i="1"/>
  <c r="T96" i="1"/>
  <c r="M96" i="1"/>
  <c r="J168" i="1"/>
  <c r="M97" i="1"/>
  <c r="W97" i="1"/>
  <c r="W98" i="1" s="1"/>
  <c r="T97" i="1"/>
  <c r="K96" i="1"/>
  <c r="V97" i="1"/>
  <c r="L97" i="1"/>
  <c r="O97" i="1"/>
  <c r="O98" i="1" s="1"/>
  <c r="S97" i="1"/>
  <c r="L96" i="1"/>
  <c r="V96" i="1"/>
  <c r="U96" i="1"/>
  <c r="R97" i="1"/>
  <c r="R98" i="1" s="1"/>
  <c r="P97" i="1"/>
  <c r="P98" i="1" s="1"/>
  <c r="U97" i="1"/>
  <c r="S96" i="1"/>
  <c r="N96" i="1"/>
  <c r="J179" i="1"/>
  <c r="I170" i="1"/>
  <c r="H170" i="1"/>
  <c r="G89" i="1"/>
  <c r="G88" i="1"/>
  <c r="I180" i="1"/>
  <c r="H180" i="1"/>
  <c r="D182" i="1"/>
  <c r="H182" i="1" s="1"/>
  <c r="W91" i="1"/>
  <c r="W92" i="1" s="1"/>
  <c r="H169" i="1"/>
  <c r="G172" i="1"/>
  <c r="H172" i="1" s="1"/>
  <c r="E162" i="1"/>
  <c r="N77" i="1"/>
  <c r="K76" i="1"/>
  <c r="K77" i="1"/>
  <c r="D160" i="1"/>
  <c r="L76" i="1"/>
  <c r="L77" i="1"/>
  <c r="M76" i="1"/>
  <c r="M77" i="1"/>
  <c r="J157" i="1"/>
  <c r="H159" i="1"/>
  <c r="I159" i="1"/>
  <c r="S76" i="1"/>
  <c r="F160" i="1"/>
  <c r="F162" i="1" s="1"/>
  <c r="S77" i="1"/>
  <c r="T76" i="1"/>
  <c r="T77" i="1"/>
  <c r="U76" i="1"/>
  <c r="U77" i="1"/>
  <c r="K75" i="1"/>
  <c r="J158" i="1"/>
  <c r="V77" i="1"/>
  <c r="J139" i="1"/>
  <c r="H140" i="1"/>
  <c r="H143" i="1" s="1"/>
  <c r="I140" i="1"/>
  <c r="D142" i="1"/>
  <c r="H142" i="1" s="1"/>
  <c r="G24" i="1"/>
  <c r="G26" i="1" s="1"/>
  <c r="T98" i="1" l="1"/>
  <c r="N98" i="1"/>
  <c r="L98" i="1"/>
  <c r="K98" i="1"/>
  <c r="M98" i="1"/>
  <c r="H173" i="1"/>
  <c r="U98" i="1"/>
  <c r="V98" i="1"/>
  <c r="J170" i="1"/>
  <c r="S98" i="1"/>
  <c r="J180" i="1"/>
  <c r="J182" i="1" s="1"/>
  <c r="H183" i="1"/>
  <c r="J169" i="1"/>
  <c r="J172" i="1" s="1"/>
  <c r="K168" i="1" s="1"/>
  <c r="E38" i="1" s="1"/>
  <c r="I160" i="1"/>
  <c r="H160" i="1"/>
  <c r="J159" i="1"/>
  <c r="D162" i="1"/>
  <c r="H162" i="1" s="1"/>
  <c r="J140" i="1"/>
  <c r="K170" i="1" l="1"/>
  <c r="G38" i="1" s="1"/>
  <c r="J91" i="1" s="1"/>
  <c r="K167" i="1"/>
  <c r="K169" i="1"/>
  <c r="F38" i="1" s="1"/>
  <c r="J160" i="1"/>
  <c r="J162" i="1" s="1"/>
  <c r="K160" i="1" s="1"/>
  <c r="G36" i="1" s="1"/>
  <c r="J76" i="1" s="1"/>
  <c r="K180" i="1"/>
  <c r="G40" i="1" s="1"/>
  <c r="K178" i="1"/>
  <c r="E40" i="1" s="1"/>
  <c r="K177" i="1"/>
  <c r="K179" i="1"/>
  <c r="F40" i="1" s="1"/>
  <c r="H163" i="1"/>
  <c r="D38" i="1"/>
  <c r="J142" i="1"/>
  <c r="I91" i="1" l="1"/>
  <c r="H91" i="1"/>
  <c r="K172" i="1"/>
  <c r="G91" i="1"/>
  <c r="D40" i="1"/>
  <c r="AA40" i="1" s="1"/>
  <c r="K182" i="1"/>
  <c r="J77" i="1"/>
  <c r="K159" i="1"/>
  <c r="F36" i="1" s="1"/>
  <c r="I76" i="1" s="1"/>
  <c r="K158" i="1"/>
  <c r="E36" i="1" s="1"/>
  <c r="K157" i="1"/>
  <c r="D36" i="1" s="1"/>
  <c r="K137" i="1"/>
  <c r="K139" i="1"/>
  <c r="K138" i="1"/>
  <c r="K140" i="1"/>
  <c r="G35" i="1" s="1"/>
  <c r="J96" i="1" l="1"/>
  <c r="I77" i="1"/>
  <c r="H76" i="1"/>
  <c r="AA36" i="1"/>
  <c r="K162" i="1"/>
  <c r="H77" i="1"/>
  <c r="G77" i="1"/>
  <c r="J75" i="1"/>
  <c r="E35" i="1"/>
  <c r="E37" i="1" s="1"/>
  <c r="E39" i="1" s="1"/>
  <c r="F35" i="1"/>
  <c r="G37" i="1"/>
  <c r="D35" i="1"/>
  <c r="G76" i="1"/>
  <c r="K142" i="1"/>
  <c r="H96" i="1" l="1"/>
  <c r="I96" i="1"/>
  <c r="G96" i="1"/>
  <c r="G39" i="1"/>
  <c r="G41" i="1" s="1"/>
  <c r="J90" i="1"/>
  <c r="J92" i="1" s="1"/>
  <c r="J81" i="1"/>
  <c r="AA35" i="1"/>
  <c r="D37" i="1"/>
  <c r="D39" i="1" s="1"/>
  <c r="H75" i="1"/>
  <c r="I75" i="1"/>
  <c r="G75" i="1"/>
  <c r="F37" i="1"/>
  <c r="H90" i="1" s="1"/>
  <c r="H92" i="1" s="1"/>
  <c r="J103" i="1" l="1"/>
  <c r="J106" i="1" s="1"/>
  <c r="J82" i="1"/>
  <c r="J83" i="1"/>
  <c r="J84" i="1"/>
  <c r="I81" i="1"/>
  <c r="H81" i="1"/>
  <c r="I90" i="1"/>
  <c r="I92" i="1" s="1"/>
  <c r="G90" i="1"/>
  <c r="G92" i="1" s="1"/>
  <c r="F39" i="1"/>
  <c r="F41" i="1" s="1"/>
  <c r="AA37" i="1"/>
  <c r="G81" i="1"/>
  <c r="D41" i="1"/>
  <c r="AA39" i="1"/>
  <c r="AA38" i="1"/>
  <c r="E41" i="1"/>
  <c r="G103" i="1" l="1"/>
  <c r="J107" i="1" s="1"/>
  <c r="K107" i="1" s="1"/>
  <c r="L107" i="1" s="1"/>
  <c r="M107" i="1" s="1"/>
  <c r="H103" i="1"/>
  <c r="J97" i="1"/>
  <c r="J98" i="1" s="1"/>
  <c r="I103" i="1"/>
  <c r="I106" i="1" s="1"/>
  <c r="H84" i="1"/>
  <c r="G83" i="1"/>
  <c r="I83" i="1"/>
  <c r="G82" i="1"/>
  <c r="H82" i="1"/>
  <c r="H83" i="1"/>
  <c r="I84" i="1"/>
  <c r="I97" i="1" s="1"/>
  <c r="I98" i="1" s="1"/>
  <c r="G84" i="1"/>
  <c r="I82" i="1"/>
  <c r="AA41" i="1"/>
  <c r="G97" i="1" l="1"/>
  <c r="G98" i="1" s="1"/>
  <c r="H97" i="1"/>
  <c r="H98" i="1" s="1"/>
</calcChain>
</file>

<file path=xl/sharedStrings.xml><?xml version="1.0" encoding="utf-8"?>
<sst xmlns="http://schemas.openxmlformats.org/spreadsheetml/2006/main" count="297" uniqueCount="174">
  <si>
    <t>Zysk (strata) brutto</t>
  </si>
  <si>
    <t>Zysk (strata) netto</t>
  </si>
  <si>
    <t>Przychody ze sprzedaży</t>
  </si>
  <si>
    <t>Przepływy netto operacyjne</t>
  </si>
  <si>
    <t>Przepływy netto inwestycyjne</t>
  </si>
  <si>
    <t>Przepływy netto finansowe</t>
  </si>
  <si>
    <t>Przepływy netto</t>
  </si>
  <si>
    <t>Środki pieniężne</t>
  </si>
  <si>
    <t>Aktywa trwałe</t>
  </si>
  <si>
    <t>Aktywa obrotowe</t>
  </si>
  <si>
    <t>Aktywa</t>
  </si>
  <si>
    <t>Kapitał zakładowy</t>
  </si>
  <si>
    <t>Zobowiązania długoterminowe</t>
  </si>
  <si>
    <t>Zobowiązania krótkoterminowe</t>
  </si>
  <si>
    <t>Bilans (sprawozdanie z sytuacji finansowej)</t>
  </si>
  <si>
    <t>Pozostałe aktywa obrotowe</t>
  </si>
  <si>
    <t>Pozostałe aktywa</t>
  </si>
  <si>
    <t>Zobowiązania</t>
  </si>
  <si>
    <t>Pozostałe kapitały</t>
  </si>
  <si>
    <t>Pozostałe pasywa</t>
  </si>
  <si>
    <t>Pasywa</t>
  </si>
  <si>
    <t>Koszty i przychody finansowe, udział w zyskach jednostek stowarzyszonych</t>
  </si>
  <si>
    <t>Koszt własny sprzedaży, pozostałe przychody i koszty operacyjne</t>
  </si>
  <si>
    <t>Podatek dochodowy i podatek odroczony</t>
  </si>
  <si>
    <t>sprawdzenie poprawności przepływów pieniężnych</t>
  </si>
  <si>
    <t>Zysk operacyjny</t>
  </si>
  <si>
    <t>I 2009</t>
  </si>
  <si>
    <t>Pozostałe dane</t>
  </si>
  <si>
    <t>Wartość nominalna akcji</t>
  </si>
  <si>
    <t>Sprawdzenie poprawności przepływów pieniężnych netto</t>
  </si>
  <si>
    <t>Rachunek zysków i strat (sprawozdanie z zysków lub strat)</t>
  </si>
  <si>
    <t>Rachunek przepływów pieniężnych (sprawozdanie z przepływów pienieżnych)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</si>
  <si>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</si>
  <si>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</si>
  <si>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</si>
  <si>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</si>
  <si>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</si>
  <si>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</si>
  <si>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</si>
  <si>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</si>
  <si>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</si>
  <si>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</si>
  <si>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</si>
  <si>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</si>
  <si>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</si>
  <si>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</si>
  <si>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</si>
  <si>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</si>
  <si>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Kapitał własny</t>
  </si>
  <si>
    <t>wzrost/spadek kapitału:</t>
  </si>
  <si>
    <t>zysk/strata</t>
  </si>
  <si>
    <t>wypłata dywidendy</t>
  </si>
  <si>
    <t>inne</t>
  </si>
  <si>
    <t>sezonowość przychodów</t>
  </si>
  <si>
    <t>I</t>
  </si>
  <si>
    <t>II</t>
  </si>
  <si>
    <t>III</t>
  </si>
  <si>
    <t>IV</t>
  </si>
  <si>
    <t>razem</t>
  </si>
  <si>
    <t>wskaźnik</t>
  </si>
  <si>
    <t>ilość</t>
  </si>
  <si>
    <t>średnia</t>
  </si>
  <si>
    <t>na ostatni dzień kwartału</t>
  </si>
  <si>
    <t>średnia w kwartale</t>
  </si>
  <si>
    <t>Ceny zamknięcia akcji</t>
  </si>
  <si>
    <t>sezonowość kursów akcji</t>
  </si>
  <si>
    <t>Razem</t>
  </si>
  <si>
    <t>Wskaźniki płynności</t>
  </si>
  <si>
    <t>płynność III stopnia</t>
  </si>
  <si>
    <t>płynność I stopnia</t>
  </si>
  <si>
    <t>Wskaźniki obrotowości</t>
  </si>
  <si>
    <t>obrót aktywami krótkoterminowymi z wyjątkiem środków pieniężnych</t>
  </si>
  <si>
    <t>obrót zobowiązaniani krótkoterminowymi</t>
  </si>
  <si>
    <t>obrót kapitałem w obrocie</t>
  </si>
  <si>
    <t>Wskaźniki zadłużenia</t>
  </si>
  <si>
    <t>Dżwignie</t>
  </si>
  <si>
    <t>Dźwignia finansowa zmodyfikowana</t>
  </si>
  <si>
    <t>Dźwignia operacyjna zmodyfikowana</t>
  </si>
  <si>
    <t>stopa zadłużenia aktywów</t>
  </si>
  <si>
    <t>stopa zadłużenia kapitałów</t>
  </si>
  <si>
    <t>Dźwignia łączna zmodyfikowana</t>
  </si>
  <si>
    <t>Wskaźniki rynkowe</t>
  </si>
  <si>
    <t>Wartość księgowa na akcję</t>
  </si>
  <si>
    <t>Zysk na akcję</t>
  </si>
  <si>
    <t>Kapitalizacja (wartość rynkowa)</t>
  </si>
  <si>
    <t>Stopa wypłat dywidendy</t>
  </si>
  <si>
    <t>Cena do wartości księgowej</t>
  </si>
  <si>
    <t>Wskaźnik na skłonność do upadłości (Z-Score zmodyfikowany)</t>
  </si>
  <si>
    <t>Kapitał w obrocie/aktywa</t>
  </si>
  <si>
    <t>Zysk operacyjny/aktywa</t>
  </si>
  <si>
    <t>Kapitalizacja/zobowiązania</t>
  </si>
  <si>
    <t>Sprzedaż/aktywa</t>
  </si>
  <si>
    <t>Struktura ceny akcji</t>
  </si>
  <si>
    <t>Majątek pomniejszony o zobowiązania krótkoterminowe</t>
  </si>
  <si>
    <t>Dywidenda na akcję</t>
  </si>
  <si>
    <t>Wartość firmy</t>
  </si>
  <si>
    <t>Kurs akcji</t>
  </si>
  <si>
    <t>kapitał obrotowy na ostatni dzień kwartału</t>
  </si>
  <si>
    <t>Dni w okresie:</t>
  </si>
  <si>
    <t>styczeń</t>
  </si>
  <si>
    <t>luty</t>
  </si>
  <si>
    <t>luty przestępny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</si>
  <si>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</si>
  <si>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</si>
  <si>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</si>
  <si>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</si>
  <si>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</si>
  <si>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</si>
  <si>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</si>
  <si>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</si>
  <si>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</si>
  <si>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</si>
  <si>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Dni</t>
  </si>
  <si>
    <t>QI</t>
  </si>
  <si>
    <t>QII</t>
  </si>
  <si>
    <t>QIII</t>
  </si>
  <si>
    <t>QIV</t>
  </si>
  <si>
    <t>QI + QII</t>
  </si>
  <si>
    <t>QII + QIII</t>
  </si>
  <si>
    <t>QIII + QIV</t>
  </si>
  <si>
    <t>QIV + QI</t>
  </si>
  <si>
    <t>QI Prz +QII</t>
  </si>
  <si>
    <t>QIV + QI Prz</t>
  </si>
  <si>
    <t>QI + QII + QIII</t>
  </si>
  <si>
    <t>QI Prz + QII + QIII</t>
  </si>
  <si>
    <t>QII + QIII + QIV</t>
  </si>
  <si>
    <t>QIII + QIV + QI</t>
  </si>
  <si>
    <t>QIV +QI + QII</t>
  </si>
  <si>
    <t>QIV + QI Prz + QII</t>
  </si>
  <si>
    <t>QIII + QIV + QI Prz</t>
  </si>
  <si>
    <t>QI Prz</t>
  </si>
  <si>
    <t>QI + QII + QIII + QIV</t>
  </si>
  <si>
    <t>QI Prz + QII + QIII + QIV</t>
  </si>
  <si>
    <t>tys. zł</t>
  </si>
  <si>
    <t>Dane finansowe CCC</t>
  </si>
  <si>
    <t>miara</t>
  </si>
  <si>
    <t>mln sztuk</t>
  </si>
  <si>
    <t>Ilość akcji</t>
  </si>
  <si>
    <t>zł</t>
  </si>
  <si>
    <t>ile razy</t>
  </si>
  <si>
    <t>dni</t>
  </si>
  <si>
    <t>I 2008</t>
  </si>
  <si>
    <t>II 2008</t>
  </si>
  <si>
    <t>III 2008</t>
  </si>
  <si>
    <t>IV 2008</t>
  </si>
  <si>
    <t>spraw-dzenie</t>
  </si>
  <si>
    <t>sezonowość kosztu własnego sprzedaży + przychody i koszty operacyjne</t>
  </si>
  <si>
    <t>kapitał obrotowy średni w okresie</t>
  </si>
  <si>
    <t>Kapitał obcy długoterminowy</t>
  </si>
  <si>
    <t>Zyskowność operacyjna sprzedaży</t>
  </si>
  <si>
    <t>Zyskowność netto sprzedaży</t>
  </si>
  <si>
    <t>Zyskowność netto aktywów</t>
  </si>
  <si>
    <t>%</t>
  </si>
  <si>
    <t>Sezonowość koszty i przychody finansowe</t>
  </si>
  <si>
    <t>Sezonowość podatek dochodowy i odroczony</t>
  </si>
  <si>
    <t>zysk operacyjny za cztery kwartały</t>
  </si>
  <si>
    <t>PKFJS za cztery kwartały</t>
  </si>
  <si>
    <t>pokrycie przychodów i kosztów finansowych oraz dochodów uzyskanych od jedniostek wycenianych metodą praw własności zyskiem operacyjnym</t>
  </si>
  <si>
    <t>Zyskowność netto kapitału</t>
  </si>
  <si>
    <t>Wskaźniki zyskowności (rentowności)</t>
  </si>
  <si>
    <t>zł/akcja</t>
  </si>
  <si>
    <t>średnioroczna</t>
  </si>
  <si>
    <t>Cena do zysku</t>
  </si>
  <si>
    <t>Stopa dywidendy historyczna</t>
  </si>
  <si>
    <t>Stopa dywidendy bieżąca</t>
  </si>
  <si>
    <t>bd</t>
  </si>
  <si>
    <t>Kapitał własny - zysk netto/aktywa</t>
  </si>
  <si>
    <t>Wskaźnik Z-Score</t>
  </si>
  <si>
    <t>Wskaźnik Z-Score gdyby nie była spółką publiczną</t>
  </si>
  <si>
    <t>Kapitalizacja/zobowiązania gdyby nie była spółką publiczną</t>
  </si>
  <si>
    <t>Dywidenda</t>
  </si>
  <si>
    <t>Sprawdzenie</t>
  </si>
  <si>
    <t>(%)</t>
  </si>
  <si>
    <t>stopa dywidenty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</si>
</sst>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2" xfId="0" applyNumberFormat="1" applyBorder="1"/>
    <xf numFmtId="164" fontId="0" fillId="0" borderId="0" xfId="0" applyNumberFormat="1" applyBorder="1"/>
    <xf numFmtId="0" fontId="0" fillId="0" borderId="2" xfId="0" applyBorder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Border="1"/>
    <xf numFmtId="0" fontId="1" fillId="0" borderId="1" xfId="0" applyFont="1" applyFill="1" applyBorder="1" applyAlignment="1">
      <alignment wrapText="1"/>
    </xf>
    <xf numFmtId="10" fontId="0" fillId="0" borderId="1" xfId="0" applyNumberFormat="1" applyBorder="1"/>
    <xf numFmtId="164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/>
    <xf numFmtId="0" fontId="0" fillId="0" borderId="0" xfId="0" applyFill="1"/>
    <xf numFmtId="10" fontId="0" fillId="0" borderId="0" xfId="0" applyNumberFormat="1"/>
    <xf numFmtId="4" fontId="0" fillId="0" borderId="1" xfId="0" applyNumberFormat="1" applyBorder="1"/>
    <xf numFmtId="10" fontId="0" fillId="2" borderId="1" xfId="0" applyNumberFormat="1" applyFill="1" applyBorder="1"/>
    <xf numFmtId="165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165" fontId="0" fillId="0" borderId="0" xfId="0" applyNumberFormat="1"/>
    <xf numFmtId="0" fontId="0" fillId="0" borderId="1" xfId="0" applyBorder="1" applyAlignment="1">
      <alignment horizontal="right"/>
    </xf>
    <xf numFmtId="9" fontId="0" fillId="0" borderId="0" xfId="0" applyNumberFormat="1" applyBorder="1"/>
    <xf numFmtId="0" fontId="0" fillId="0" borderId="1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Fill="1" applyBorder="1"/>
    <xf numFmtId="0" fontId="1" fillId="0" borderId="0" xfId="0" applyFont="1" applyAlignment="1">
      <alignment horizontal="center" vertical="center"/>
    </xf>
    <xf numFmtId="164" fontId="0" fillId="2" borderId="3" xfId="0" applyNumberFormat="1" applyFill="1" applyBorder="1"/>
    <xf numFmtId="164" fontId="0" fillId="2" borderId="4" xfId="0" applyNumberFormat="1" applyFill="1" applyBorder="1"/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4" fontId="0" fillId="2" borderId="1" xfId="0" applyNumberFormat="1" applyFill="1" applyBorder="1"/>
    <xf numFmtId="165" fontId="0" fillId="0" borderId="1" xfId="0" applyNumberFormat="1" applyFill="1" applyBorder="1"/>
    <xf numFmtId="2" fontId="0" fillId="0" borderId="1" xfId="0" applyNumberFormat="1" applyBorder="1"/>
    <xf numFmtId="2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/>
    <xf numFmtId="4" fontId="0" fillId="0" borderId="1" xfId="0" applyNumberFormat="1" applyFont="1" applyBorder="1"/>
    <xf numFmtId="0" fontId="2" fillId="0" borderId="1" xfId="0" applyFont="1" applyBorder="1" applyAlignment="1">
      <alignment wrapText="1"/>
    </xf>
    <xf numFmtId="8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CCC</a:t>
            </a:r>
            <a:r>
              <a:rPr lang="pl-PL" b="1" baseline="0"/>
              <a:t> - struktura ceny akcji</a:t>
            </a:r>
            <a:endParaRPr lang="pl-PL" b="1"/>
          </a:p>
        </c:rich>
      </c:tx>
      <c:layout>
        <c:manualLayout>
          <c:xMode val="edge"/>
          <c:yMode val="edge"/>
          <c:x val="0.2895277777777777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SCA!$B$3</c:f>
              <c:strCache>
                <c:ptCount val="1"/>
                <c:pt idx="0">
                  <c:v>Kapitał własny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SCA!$C$2:$P$2</c:f>
              <c:strCache>
                <c:ptCount val="14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</c:strCache>
            </c:strRef>
          </c:cat>
          <c:val>
            <c:numRef>
              <c:f>SCA!$C$3:$P$3</c:f>
              <c:numCache>
                <c:formatCode>"zł"#,##0.00_);[Red]\("zł"#,##0.00\)</c:formatCode>
                <c:ptCount val="14"/>
                <c:pt idx="0">
                  <c:v>7.7132812499999996</c:v>
                </c:pt>
                <c:pt idx="1">
                  <c:v>7.7872656249999999</c:v>
                </c:pt>
                <c:pt idx="2">
                  <c:v>7.604739583333334</c:v>
                </c:pt>
                <c:pt idx="3">
                  <c:v>7.8926302083333342</c:v>
                </c:pt>
                <c:pt idx="4">
                  <c:v>8.8596093749999998</c:v>
                </c:pt>
                <c:pt idx="5">
                  <c:v>8.9932552083333341</c:v>
                </c:pt>
                <c:pt idx="6">
                  <c:v>9.3323177083333331</c:v>
                </c:pt>
                <c:pt idx="7">
                  <c:v>9.8970052083333346</c:v>
                </c:pt>
                <c:pt idx="8">
                  <c:v>11.011666666666668</c:v>
                </c:pt>
                <c:pt idx="9">
                  <c:v>10.894348958333333</c:v>
                </c:pt>
                <c:pt idx="10">
                  <c:v>10.689609375</c:v>
                </c:pt>
                <c:pt idx="11">
                  <c:v>11.209375</c:v>
                </c:pt>
                <c:pt idx="12">
                  <c:v>12.892838541666668</c:v>
                </c:pt>
                <c:pt idx="13">
                  <c:v>12.984140625</c:v>
                </c:pt>
              </c:numCache>
            </c:numRef>
          </c:val>
        </c:ser>
        <c:ser>
          <c:idx val="1"/>
          <c:order val="1"/>
          <c:tx>
            <c:strRef>
              <c:f>SCA!$B$4</c:f>
              <c:strCache>
                <c:ptCount val="1"/>
                <c:pt idx="0">
                  <c:v>Kapitał obcy długoterminowy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SCA!$C$2:$P$2</c:f>
              <c:strCache>
                <c:ptCount val="14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</c:strCache>
            </c:strRef>
          </c:cat>
          <c:val>
            <c:numRef>
              <c:f>SCA!$C$4:$P$4</c:f>
              <c:numCache>
                <c:formatCode>"zł"#,##0.00_);[Red]\("zł"#,##0.00\)</c:formatCode>
                <c:ptCount val="14"/>
                <c:pt idx="0">
                  <c:v>0.38390625</c:v>
                </c:pt>
                <c:pt idx="1">
                  <c:v>2.9268229166666671</c:v>
                </c:pt>
                <c:pt idx="2">
                  <c:v>2.4030208333333336</c:v>
                </c:pt>
                <c:pt idx="3">
                  <c:v>2.791953125</c:v>
                </c:pt>
                <c:pt idx="4">
                  <c:v>2.118776041666667</c:v>
                </c:pt>
                <c:pt idx="5">
                  <c:v>2.0007812500000002</c:v>
                </c:pt>
                <c:pt idx="6">
                  <c:v>1.3297916666666667</c:v>
                </c:pt>
                <c:pt idx="7">
                  <c:v>0.9434114583333334</c:v>
                </c:pt>
                <c:pt idx="8">
                  <c:v>2.7374218749999999</c:v>
                </c:pt>
                <c:pt idx="9">
                  <c:v>3.3444270833333336</c:v>
                </c:pt>
                <c:pt idx="10">
                  <c:v>3.5361458333333333</c:v>
                </c:pt>
                <c:pt idx="11">
                  <c:v>5.7700520833333337</c:v>
                </c:pt>
                <c:pt idx="12">
                  <c:v>5.4312500000000004</c:v>
                </c:pt>
                <c:pt idx="13">
                  <c:v>4.3167968749999996</c:v>
                </c:pt>
              </c:numCache>
            </c:numRef>
          </c:val>
        </c:ser>
        <c:ser>
          <c:idx val="2"/>
          <c:order val="2"/>
          <c:tx>
            <c:strRef>
              <c:f>SCA!$B$5</c:f>
              <c:strCache>
                <c:ptCount val="1"/>
                <c:pt idx="0">
                  <c:v>Dywidenda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SCA!$C$2:$P$2</c:f>
              <c:strCache>
                <c:ptCount val="14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</c:strCache>
            </c:strRef>
          </c:cat>
          <c:val>
            <c:numRef>
              <c:f>SCA!$C$5:$P$5</c:f>
              <c:numCache>
                <c:formatCode>"zł"#,##0.00_);[Red]\("zł"#,##0.00\)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</c:numCache>
            </c:numRef>
          </c:val>
        </c:ser>
        <c:ser>
          <c:idx val="3"/>
          <c:order val="3"/>
          <c:tx>
            <c:strRef>
              <c:f>SCA!$B$6</c:f>
              <c:strCache>
                <c:ptCount val="1"/>
                <c:pt idx="0">
                  <c:v>Wartość firmy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SCA!$C$2:$P$2</c:f>
              <c:strCache>
                <c:ptCount val="14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</c:strCache>
            </c:strRef>
          </c:cat>
          <c:val>
            <c:numRef>
              <c:f>SCA!$C$6:$P$6</c:f>
              <c:numCache>
                <c:formatCode>"zł"#,##0.00_);[Red]\("zł"#,##0.00\)</c:formatCode>
                <c:ptCount val="14"/>
                <c:pt idx="0">
                  <c:v>28.4028125</c:v>
                </c:pt>
                <c:pt idx="1">
                  <c:v>18.235911458333334</c:v>
                </c:pt>
                <c:pt idx="2">
                  <c:v>28.99223958333333</c:v>
                </c:pt>
                <c:pt idx="3">
                  <c:v>35.315416666666664</c:v>
                </c:pt>
                <c:pt idx="4">
                  <c:v>36.621614583333333</c:v>
                </c:pt>
                <c:pt idx="5">
                  <c:v>45.355963541666668</c:v>
                </c:pt>
                <c:pt idx="6">
                  <c:v>42.337890625</c:v>
                </c:pt>
                <c:pt idx="7">
                  <c:v>45.65958333333333</c:v>
                </c:pt>
                <c:pt idx="8">
                  <c:v>53.250911458333334</c:v>
                </c:pt>
                <c:pt idx="9">
                  <c:v>44.261223958333332</c:v>
                </c:pt>
                <c:pt idx="10">
                  <c:v>42.274244791666668</c:v>
                </c:pt>
                <c:pt idx="11">
                  <c:v>23.920572916666664</c:v>
                </c:pt>
                <c:pt idx="12">
                  <c:v>27.175911458333331</c:v>
                </c:pt>
                <c:pt idx="13">
                  <c:v>38.649062499999999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006400"/>
        <c:axId val="267011104"/>
      </c:areaChart>
      <c:catAx>
        <c:axId val="26700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67011104"/>
        <c:crosses val="autoZero"/>
        <c:auto val="1"/>
        <c:lblAlgn val="ctr"/>
        <c:lblOffset val="100"/>
        <c:noMultiLvlLbl val="0"/>
      </c:catAx>
      <c:valAx>
        <c:axId val="26701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zł&quot;#,##0.00_);[Red]\(&quot;zł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67006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12</xdr:row>
      <xdr:rowOff>23812</xdr:rowOff>
    </xdr:from>
    <xdr:to>
      <xdr:col>11</xdr:col>
      <xdr:colOff>333375</xdr:colOff>
      <xdr:row>26</xdr:row>
      <xdr:rowOff>100012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3/Desktop/Roj/kursynowe/CCC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>
        <row r="129">
          <cell r="E129">
            <v>36.5</v>
          </cell>
          <cell r="FP129">
            <v>39.793709677419351</v>
          </cell>
        </row>
        <row r="191">
          <cell r="E191">
            <v>28.95</v>
          </cell>
          <cell r="FP191">
            <v>35.138709677419357</v>
          </cell>
        </row>
        <row r="252">
          <cell r="E252">
            <v>39</v>
          </cell>
          <cell r="FP252">
            <v>36.033442622950822</v>
          </cell>
          <cell r="FR252">
            <v>37.903919999999985</v>
          </cell>
        </row>
        <row r="318">
          <cell r="E318">
            <v>47</v>
          </cell>
          <cell r="FP318">
            <v>44.177727272727282</v>
          </cell>
          <cell r="FR318">
            <v>38.882788844621508</v>
          </cell>
        </row>
        <row r="381">
          <cell r="E381">
            <v>48.6</v>
          </cell>
          <cell r="FP381">
            <v>45.165238095238088</v>
          </cell>
          <cell r="FR381">
            <v>40.229285714285687</v>
          </cell>
        </row>
        <row r="443">
          <cell r="E443">
            <v>57.35</v>
          </cell>
          <cell r="FP443">
            <v>53.408064516129031</v>
          </cell>
          <cell r="FR443">
            <v>44.724126984126976</v>
          </cell>
        </row>
        <row r="505">
          <cell r="E505">
            <v>54</v>
          </cell>
          <cell r="FP505">
            <v>56.111290322580636</v>
          </cell>
          <cell r="FR505">
            <v>49.610039525691711</v>
          </cell>
        </row>
        <row r="571">
          <cell r="E571">
            <v>57.5</v>
          </cell>
          <cell r="FP571">
            <v>55.11363636363636</v>
          </cell>
          <cell r="FR571">
            <v>52.462885375494075</v>
          </cell>
        </row>
        <row r="634">
          <cell r="E634">
            <v>68</v>
          </cell>
          <cell r="FP634">
            <v>62.723809523809543</v>
          </cell>
          <cell r="FR634">
            <v>56.835177865612636</v>
          </cell>
        </row>
        <row r="697">
          <cell r="E697">
            <v>59.5</v>
          </cell>
          <cell r="FP697">
            <v>61.198412698412717</v>
          </cell>
          <cell r="FR697">
            <v>58.535433070866098</v>
          </cell>
        </row>
        <row r="758">
          <cell r="E758">
            <v>57.5</v>
          </cell>
          <cell r="FP758">
            <v>58.971311475409813</v>
          </cell>
          <cell r="FR758">
            <v>59.453952569169928</v>
          </cell>
        </row>
        <row r="823">
          <cell r="E823">
            <v>42.4</v>
          </cell>
          <cell r="FP823">
            <v>46.975230769230784</v>
          </cell>
          <cell r="FR823">
            <v>57.37198412698411</v>
          </cell>
        </row>
        <row r="885">
          <cell r="E885">
            <v>47</v>
          </cell>
          <cell r="FP885">
            <v>43.845483870967755</v>
          </cell>
          <cell r="FR885">
            <v>52.68749003984059</v>
          </cell>
        </row>
        <row r="949">
          <cell r="E949">
            <v>57.45</v>
          </cell>
          <cell r="FP949">
            <v>52.77031250000001</v>
          </cell>
          <cell r="FR949">
            <v>50.580793650793616</v>
          </cell>
        </row>
        <row r="1009">
          <cell r="E1009">
            <v>59</v>
          </cell>
          <cell r="FP1009">
            <v>55.988333333333323</v>
          </cell>
          <cell r="FR1009">
            <v>49.834302788844646</v>
          </cell>
        </row>
        <row r="1072">
          <cell r="E1072">
            <v>55.4</v>
          </cell>
          <cell r="FP1072">
            <v>56.75</v>
          </cell>
          <cell r="FR1072">
            <v>52.330401606425724</v>
          </cell>
        </row>
        <row r="1133">
          <cell r="E1133">
            <v>73</v>
          </cell>
          <cell r="FP1133">
            <v>63.379508196721318</v>
          </cell>
          <cell r="FR1133">
            <v>57.16935483870968</v>
          </cell>
        </row>
        <row r="1195">
          <cell r="E1195">
            <v>70.8</v>
          </cell>
          <cell r="FP1195">
            <v>72.643548387096786</v>
          </cell>
          <cell r="FR1195">
            <v>62.213821138211365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1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16" sqref="L16"/>
    </sheetView>
  </sheetViews>
  <sheetFormatPr defaultColWidth="8.7109375" defaultRowHeight="15" x14ac:dyDescent="0.25"/>
  <cols>
    <col min="1" max="1" width="2.85546875" customWidth="1"/>
    <col min="2" max="2" width="41.42578125" customWidth="1"/>
    <col min="3" max="24" width="9.7109375" customWidth="1"/>
    <col min="25" max="25" width="2.5703125" customWidth="1"/>
  </cols>
  <sheetData>
    <row r="2" spans="2:24" x14ac:dyDescent="0.25">
      <c r="B2" s="9" t="s">
        <v>134</v>
      </c>
      <c r="C2" s="30" t="s">
        <v>135</v>
      </c>
      <c r="D2" s="30" t="s">
        <v>141</v>
      </c>
      <c r="E2" s="30" t="s">
        <v>142</v>
      </c>
      <c r="F2" s="30" t="s">
        <v>143</v>
      </c>
      <c r="G2" s="30" t="s">
        <v>144</v>
      </c>
      <c r="H2" s="30" t="s">
        <v>26</v>
      </c>
      <c r="I2" s="30" t="s">
        <v>32</v>
      </c>
      <c r="J2" s="30" t="s">
        <v>33</v>
      </c>
      <c r="K2" s="30" t="s">
        <v>34</v>
      </c>
      <c r="L2" s="30" t="s">
        <v>35</v>
      </c>
      <c r="M2" s="30" t="s">
        <v>36</v>
      </c>
      <c r="N2" s="30" t="s">
        <v>37</v>
      </c>
      <c r="O2" s="30" t="s">
        <v>38</v>
      </c>
      <c r="P2" s="30" t="s">
        <v>39</v>
      </c>
      <c r="Q2" s="30" t="s">
        <v>40</v>
      </c>
      <c r="R2" s="30" t="s">
        <v>41</v>
      </c>
      <c r="S2" s="30" t="s">
        <v>42</v>
      </c>
      <c r="T2" s="30" t="s">
        <v>43</v>
      </c>
      <c r="U2" s="30" t="s">
        <v>44</v>
      </c>
      <c r="V2" s="30" t="s">
        <v>45</v>
      </c>
      <c r="W2" s="30" t="s">
        <v>46</v>
      </c>
      <c r="X2" s="30" t="s">
        <v>47</v>
      </c>
    </row>
    <row r="3" spans="2:24" x14ac:dyDescent="0.25">
      <c r="D3" s="5"/>
      <c r="E3" s="5"/>
      <c r="F3" s="5"/>
    </row>
    <row r="4" spans="2:24" x14ac:dyDescent="0.25">
      <c r="B4" s="9" t="s">
        <v>14</v>
      </c>
      <c r="C4" s="11"/>
      <c r="D4" s="11"/>
      <c r="E4" s="11"/>
      <c r="F4" s="11"/>
      <c r="G4" s="11"/>
    </row>
    <row r="5" spans="2:24" x14ac:dyDescent="0.25">
      <c r="D5" s="5"/>
      <c r="E5" s="5"/>
      <c r="F5" s="5"/>
    </row>
    <row r="6" spans="2:24" x14ac:dyDescent="0.25">
      <c r="B6" s="1" t="s">
        <v>8</v>
      </c>
      <c r="C6" s="1" t="s">
        <v>133</v>
      </c>
      <c r="D6" s="5"/>
      <c r="E6" s="5"/>
      <c r="F6" s="5"/>
      <c r="G6" s="3">
        <v>185466</v>
      </c>
      <c r="H6" s="3">
        <v>190431</v>
      </c>
      <c r="I6" s="3">
        <v>196245</v>
      </c>
      <c r="J6" s="3">
        <v>202859</v>
      </c>
      <c r="K6" s="3">
        <v>209908</v>
      </c>
      <c r="L6" s="3">
        <v>226485</v>
      </c>
      <c r="M6" s="3">
        <v>249056</v>
      </c>
      <c r="N6" s="3">
        <v>251754</v>
      </c>
      <c r="O6" s="3">
        <v>269959</v>
      </c>
      <c r="P6" s="3">
        <v>285945</v>
      </c>
      <c r="Q6" s="3">
        <v>323824</v>
      </c>
      <c r="R6" s="3">
        <v>342394</v>
      </c>
      <c r="S6" s="3">
        <v>367139</v>
      </c>
      <c r="T6" s="3">
        <v>371624</v>
      </c>
      <c r="U6" s="3">
        <v>379361</v>
      </c>
      <c r="V6" s="3">
        <v>382426</v>
      </c>
      <c r="W6" s="3">
        <v>387368</v>
      </c>
      <c r="X6" s="3">
        <v>385054</v>
      </c>
    </row>
    <row r="7" spans="2:24" x14ac:dyDescent="0.25">
      <c r="D7" s="5"/>
      <c r="E7" s="5"/>
      <c r="F7" s="5"/>
    </row>
    <row r="8" spans="2:24" x14ac:dyDescent="0.25">
      <c r="B8" s="6" t="s">
        <v>7</v>
      </c>
      <c r="C8" s="1" t="s">
        <v>133</v>
      </c>
      <c r="D8" s="5"/>
      <c r="E8" s="5"/>
      <c r="F8" s="5"/>
      <c r="G8" s="7">
        <v>15358</v>
      </c>
      <c r="H8" s="7">
        <v>8870</v>
      </c>
      <c r="I8" s="7">
        <v>16872</v>
      </c>
      <c r="J8" s="7">
        <v>35696</v>
      </c>
      <c r="K8" s="7">
        <v>60895</v>
      </c>
      <c r="L8" s="7">
        <v>16664</v>
      </c>
      <c r="M8" s="7">
        <v>30045</v>
      </c>
      <c r="N8" s="7">
        <v>33335</v>
      </c>
      <c r="O8" s="7">
        <v>83065</v>
      </c>
      <c r="P8" s="7">
        <v>19390</v>
      </c>
      <c r="Q8" s="7">
        <v>59132</v>
      </c>
      <c r="R8" s="7">
        <v>14690</v>
      </c>
      <c r="S8" s="7">
        <v>34926</v>
      </c>
      <c r="T8" s="7">
        <v>20266</v>
      </c>
      <c r="U8" s="7">
        <v>51040</v>
      </c>
      <c r="V8" s="7">
        <v>63099</v>
      </c>
      <c r="W8" s="7">
        <v>125708</v>
      </c>
      <c r="X8" s="7">
        <v>26084</v>
      </c>
    </row>
    <row r="9" spans="2:24" x14ac:dyDescent="0.25">
      <c r="B9" s="8" t="s">
        <v>15</v>
      </c>
      <c r="C9" s="1" t="s">
        <v>133</v>
      </c>
      <c r="D9" s="5"/>
      <c r="E9" s="5"/>
      <c r="F9" s="5"/>
      <c r="G9" s="7">
        <f>+G10-G8</f>
        <v>291206</v>
      </c>
      <c r="H9" s="7">
        <f>+H10-H8</f>
        <v>339899</v>
      </c>
      <c r="I9" s="7">
        <f t="shared" ref="I9:X9" si="0">+I10-I8</f>
        <v>367158</v>
      </c>
      <c r="J9" s="7">
        <f t="shared" si="0"/>
        <v>379318</v>
      </c>
      <c r="K9" s="7">
        <f t="shared" si="0"/>
        <v>280322</v>
      </c>
      <c r="L9" s="7">
        <f t="shared" si="0"/>
        <v>363406</v>
      </c>
      <c r="M9" s="7">
        <f t="shared" si="0"/>
        <v>319276</v>
      </c>
      <c r="N9" s="7">
        <f t="shared" si="0"/>
        <v>381944</v>
      </c>
      <c r="O9" s="7">
        <f t="shared" si="0"/>
        <v>325198</v>
      </c>
      <c r="P9" s="7">
        <f t="shared" si="0"/>
        <v>447467</v>
      </c>
      <c r="Q9" s="7">
        <f t="shared" si="0"/>
        <v>433513</v>
      </c>
      <c r="R9" s="7">
        <f t="shared" si="0"/>
        <v>517524</v>
      </c>
      <c r="S9" s="7">
        <f t="shared" si="0"/>
        <v>563548</v>
      </c>
      <c r="T9" s="7">
        <f t="shared" si="0"/>
        <v>611719</v>
      </c>
      <c r="U9" s="7">
        <f t="shared" si="0"/>
        <v>535286</v>
      </c>
      <c r="V9" s="7">
        <f t="shared" si="0"/>
        <v>529383</v>
      </c>
      <c r="W9" s="7">
        <f t="shared" si="0"/>
        <v>465038</v>
      </c>
      <c r="X9" s="7">
        <f t="shared" si="0"/>
        <v>526520</v>
      </c>
    </row>
    <row r="10" spans="2:24" x14ac:dyDescent="0.25">
      <c r="B10" s="1" t="s">
        <v>9</v>
      </c>
      <c r="C10" s="1" t="s">
        <v>133</v>
      </c>
      <c r="D10" s="5"/>
      <c r="E10" s="5"/>
      <c r="F10" s="5"/>
      <c r="G10" s="3">
        <v>306564</v>
      </c>
      <c r="H10" s="3">
        <v>348769</v>
      </c>
      <c r="I10" s="3">
        <v>384030</v>
      </c>
      <c r="J10" s="3">
        <v>415014</v>
      </c>
      <c r="K10" s="3">
        <v>341217</v>
      </c>
      <c r="L10" s="3">
        <v>380070</v>
      </c>
      <c r="M10" s="3">
        <v>349321</v>
      </c>
      <c r="N10" s="3">
        <v>415279</v>
      </c>
      <c r="O10" s="3">
        <v>408263</v>
      </c>
      <c r="P10" s="3">
        <v>466857</v>
      </c>
      <c r="Q10" s="3">
        <v>492645</v>
      </c>
      <c r="R10" s="3">
        <v>532214</v>
      </c>
      <c r="S10" s="3">
        <v>598474</v>
      </c>
      <c r="T10" s="3">
        <v>631985</v>
      </c>
      <c r="U10" s="3">
        <v>586326</v>
      </c>
      <c r="V10" s="3">
        <v>592482</v>
      </c>
      <c r="W10" s="3">
        <v>590746</v>
      </c>
      <c r="X10" s="3">
        <v>552604</v>
      </c>
    </row>
    <row r="11" spans="2:24" x14ac:dyDescent="0.25">
      <c r="D11" s="5"/>
      <c r="E11" s="5"/>
      <c r="F11" s="5"/>
    </row>
    <row r="12" spans="2:24" x14ac:dyDescent="0.25">
      <c r="B12" s="1" t="s">
        <v>16</v>
      </c>
      <c r="C12" s="1" t="s">
        <v>133</v>
      </c>
      <c r="D12" s="5"/>
      <c r="E12" s="5"/>
      <c r="F12" s="5"/>
      <c r="G12" s="3">
        <f>+G14-G6-G10</f>
        <v>0</v>
      </c>
      <c r="H12" s="3">
        <f>+H14-H6-H10</f>
        <v>0</v>
      </c>
      <c r="I12" s="3">
        <f t="shared" ref="I12:X12" si="1">+I14-I6-I10</f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3">
        <f t="shared" si="1"/>
        <v>0</v>
      </c>
      <c r="N12" s="3">
        <f t="shared" si="1"/>
        <v>0</v>
      </c>
      <c r="O12" s="3">
        <f t="shared" si="1"/>
        <v>0</v>
      </c>
      <c r="P12" s="3">
        <f t="shared" si="1"/>
        <v>0</v>
      </c>
      <c r="Q12" s="3">
        <f t="shared" si="1"/>
        <v>0</v>
      </c>
      <c r="R12" s="3">
        <f t="shared" si="1"/>
        <v>0</v>
      </c>
      <c r="S12" s="3">
        <f t="shared" si="1"/>
        <v>0</v>
      </c>
      <c r="T12" s="3">
        <f t="shared" si="1"/>
        <v>0</v>
      </c>
      <c r="U12" s="3">
        <f t="shared" si="1"/>
        <v>0</v>
      </c>
      <c r="V12" s="3">
        <f t="shared" si="1"/>
        <v>0</v>
      </c>
      <c r="W12" s="3">
        <f t="shared" si="1"/>
        <v>0</v>
      </c>
      <c r="X12" s="3">
        <f t="shared" si="1"/>
        <v>0</v>
      </c>
    </row>
    <row r="13" spans="2:24" x14ac:dyDescent="0.25">
      <c r="D13" s="5"/>
      <c r="E13" s="5"/>
      <c r="F13" s="5"/>
    </row>
    <row r="14" spans="2:24" x14ac:dyDescent="0.25">
      <c r="B14" s="9" t="s">
        <v>10</v>
      </c>
      <c r="C14" s="1" t="s">
        <v>133</v>
      </c>
      <c r="D14" s="5"/>
      <c r="E14" s="5"/>
      <c r="F14" s="5"/>
      <c r="G14" s="10">
        <v>492030</v>
      </c>
      <c r="H14" s="10">
        <v>539200</v>
      </c>
      <c r="I14" s="10">
        <v>580275</v>
      </c>
      <c r="J14" s="10">
        <v>617873</v>
      </c>
      <c r="K14" s="10">
        <v>551125</v>
      </c>
      <c r="L14" s="10">
        <v>606555</v>
      </c>
      <c r="M14" s="10">
        <v>598377</v>
      </c>
      <c r="N14" s="10">
        <v>667033</v>
      </c>
      <c r="O14" s="10">
        <v>678222</v>
      </c>
      <c r="P14" s="10">
        <v>752802</v>
      </c>
      <c r="Q14" s="10">
        <v>816469</v>
      </c>
      <c r="R14" s="10">
        <v>874608</v>
      </c>
      <c r="S14" s="10">
        <v>965613</v>
      </c>
      <c r="T14" s="10">
        <v>1003609</v>
      </c>
      <c r="U14" s="10">
        <v>965687</v>
      </c>
      <c r="V14" s="10">
        <v>974908</v>
      </c>
      <c r="W14" s="10">
        <v>978114</v>
      </c>
      <c r="X14" s="10">
        <v>937658</v>
      </c>
    </row>
    <row r="15" spans="2:24" x14ac:dyDescent="0.25">
      <c r="D15" s="5"/>
      <c r="E15" s="5"/>
      <c r="F15" s="5"/>
    </row>
    <row r="16" spans="2:24" x14ac:dyDescent="0.25">
      <c r="B16" s="6" t="s">
        <v>12</v>
      </c>
      <c r="C16" s="1" t="s">
        <v>133</v>
      </c>
      <c r="D16" s="5"/>
      <c r="E16" s="5"/>
      <c r="F16" s="5"/>
      <c r="G16" s="7">
        <v>14742</v>
      </c>
      <c r="H16" s="7">
        <v>112390</v>
      </c>
      <c r="I16" s="7">
        <v>92276</v>
      </c>
      <c r="J16" s="7">
        <v>107211</v>
      </c>
      <c r="K16" s="7">
        <v>81361</v>
      </c>
      <c r="L16" s="7">
        <v>76830</v>
      </c>
      <c r="M16" s="7">
        <v>51064</v>
      </c>
      <c r="N16" s="7">
        <v>36227</v>
      </c>
      <c r="O16" s="7">
        <v>105117</v>
      </c>
      <c r="P16" s="7">
        <v>128426</v>
      </c>
      <c r="Q16" s="7">
        <v>135788</v>
      </c>
      <c r="R16" s="7">
        <v>221570</v>
      </c>
      <c r="S16" s="7">
        <v>208560</v>
      </c>
      <c r="T16" s="7">
        <v>165765</v>
      </c>
      <c r="U16" s="7">
        <v>162200</v>
      </c>
      <c r="V16" s="7">
        <v>147902</v>
      </c>
      <c r="W16" s="7">
        <v>124099</v>
      </c>
      <c r="X16" s="7">
        <v>163563</v>
      </c>
    </row>
    <row r="17" spans="2:24" x14ac:dyDescent="0.25">
      <c r="B17" s="6" t="s">
        <v>13</v>
      </c>
      <c r="C17" s="1" t="s">
        <v>133</v>
      </c>
      <c r="D17" s="5"/>
      <c r="E17" s="5"/>
      <c r="F17" s="5"/>
      <c r="G17" s="7">
        <v>181098</v>
      </c>
      <c r="H17" s="7">
        <v>127779</v>
      </c>
      <c r="I17" s="7">
        <v>195977</v>
      </c>
      <c r="J17" s="7">
        <v>207585</v>
      </c>
      <c r="K17" s="7">
        <v>129555</v>
      </c>
      <c r="L17" s="7">
        <v>184384</v>
      </c>
      <c r="M17" s="7">
        <v>188952</v>
      </c>
      <c r="N17" s="7">
        <v>250761</v>
      </c>
      <c r="O17" s="7">
        <v>150257</v>
      </c>
      <c r="P17" s="7">
        <v>206033</v>
      </c>
      <c r="Q17" s="7">
        <v>270200</v>
      </c>
      <c r="R17" s="7">
        <v>222598</v>
      </c>
      <c r="S17" s="7">
        <v>261968</v>
      </c>
      <c r="T17" s="7">
        <v>339253</v>
      </c>
      <c r="U17" s="7">
        <v>334797</v>
      </c>
      <c r="V17" s="7">
        <v>341374</v>
      </c>
      <c r="W17" s="7">
        <v>325304</v>
      </c>
      <c r="X17" s="7">
        <v>285868</v>
      </c>
    </row>
    <row r="18" spans="2:24" x14ac:dyDescent="0.25">
      <c r="B18" s="1" t="s">
        <v>17</v>
      </c>
      <c r="C18" s="1" t="s">
        <v>133</v>
      </c>
      <c r="D18" s="5"/>
      <c r="E18" s="5"/>
      <c r="F18" s="5"/>
      <c r="G18" s="3">
        <f>+G17+G16</f>
        <v>195840</v>
      </c>
      <c r="H18" s="3">
        <f>+H17+H16</f>
        <v>240169</v>
      </c>
      <c r="I18" s="3">
        <f t="shared" ref="I18:X18" si="2">+I17+I16</f>
        <v>288253</v>
      </c>
      <c r="J18" s="3">
        <f t="shared" si="2"/>
        <v>314796</v>
      </c>
      <c r="K18" s="3">
        <f t="shared" si="2"/>
        <v>210916</v>
      </c>
      <c r="L18" s="3">
        <f t="shared" si="2"/>
        <v>261214</v>
      </c>
      <c r="M18" s="3">
        <f t="shared" si="2"/>
        <v>240016</v>
      </c>
      <c r="N18" s="3">
        <f t="shared" si="2"/>
        <v>286988</v>
      </c>
      <c r="O18" s="3">
        <f t="shared" si="2"/>
        <v>255374</v>
      </c>
      <c r="P18" s="3">
        <f t="shared" si="2"/>
        <v>334459</v>
      </c>
      <c r="Q18" s="3">
        <f t="shared" si="2"/>
        <v>405988</v>
      </c>
      <c r="R18" s="3">
        <f t="shared" si="2"/>
        <v>444168</v>
      </c>
      <c r="S18" s="3">
        <f t="shared" si="2"/>
        <v>470528</v>
      </c>
      <c r="T18" s="3">
        <f t="shared" si="2"/>
        <v>505018</v>
      </c>
      <c r="U18" s="3">
        <f t="shared" si="2"/>
        <v>496997</v>
      </c>
      <c r="V18" s="3">
        <f t="shared" si="2"/>
        <v>489276</v>
      </c>
      <c r="W18" s="3">
        <f t="shared" si="2"/>
        <v>449403</v>
      </c>
      <c r="X18" s="3">
        <f t="shared" si="2"/>
        <v>449431</v>
      </c>
    </row>
    <row r="19" spans="2:24" x14ac:dyDescent="0.25">
      <c r="D19" s="5"/>
      <c r="E19" s="5"/>
      <c r="F19" s="5"/>
    </row>
    <row r="20" spans="2:24" x14ac:dyDescent="0.25">
      <c r="B20" s="6" t="s">
        <v>11</v>
      </c>
      <c r="C20" s="1" t="s">
        <v>133</v>
      </c>
      <c r="D20" s="5"/>
      <c r="E20" s="5"/>
      <c r="F20" s="5"/>
      <c r="G20" s="7">
        <v>3840</v>
      </c>
      <c r="H20" s="7">
        <v>3840</v>
      </c>
      <c r="I20" s="7">
        <v>3840</v>
      </c>
      <c r="J20" s="7">
        <v>3840</v>
      </c>
      <c r="K20" s="7">
        <v>3840</v>
      </c>
      <c r="L20" s="7">
        <v>3840</v>
      </c>
      <c r="M20" s="7">
        <v>3840</v>
      </c>
      <c r="N20" s="7">
        <v>3840</v>
      </c>
      <c r="O20" s="7">
        <v>3840</v>
      </c>
      <c r="P20" s="7">
        <v>3840</v>
      </c>
      <c r="Q20" s="7">
        <v>3840</v>
      </c>
      <c r="R20" s="7">
        <v>3840</v>
      </c>
      <c r="S20" s="7">
        <v>3840</v>
      </c>
      <c r="T20" s="7">
        <v>3840</v>
      </c>
      <c r="U20" s="7">
        <v>3840</v>
      </c>
      <c r="V20" s="7">
        <v>3840</v>
      </c>
      <c r="W20" s="7">
        <v>3840</v>
      </c>
      <c r="X20" s="7">
        <v>3840</v>
      </c>
    </row>
    <row r="21" spans="2:24" x14ac:dyDescent="0.25">
      <c r="B21" s="8" t="s">
        <v>18</v>
      </c>
      <c r="C21" s="1" t="s">
        <v>133</v>
      </c>
      <c r="D21" s="5"/>
      <c r="E21" s="5"/>
      <c r="F21" s="5"/>
      <c r="G21" s="7">
        <f>+G22-G20</f>
        <v>292350</v>
      </c>
      <c r="H21" s="7">
        <f>+H22-H20</f>
        <v>295191</v>
      </c>
      <c r="I21" s="7">
        <f t="shared" ref="I21:X21" si="3">+I22-I20</f>
        <v>288182</v>
      </c>
      <c r="J21" s="7">
        <f t="shared" si="3"/>
        <v>299237</v>
      </c>
      <c r="K21" s="7">
        <f t="shared" si="3"/>
        <v>336369</v>
      </c>
      <c r="L21" s="7">
        <f t="shared" si="3"/>
        <v>341501</v>
      </c>
      <c r="M21" s="7">
        <f t="shared" si="3"/>
        <v>354521</v>
      </c>
      <c r="N21" s="7">
        <f t="shared" si="3"/>
        <v>376205</v>
      </c>
      <c r="O21" s="7">
        <f t="shared" si="3"/>
        <v>419008</v>
      </c>
      <c r="P21" s="7">
        <f t="shared" si="3"/>
        <v>414503</v>
      </c>
      <c r="Q21" s="7">
        <f t="shared" si="3"/>
        <v>406641</v>
      </c>
      <c r="R21" s="7">
        <f t="shared" si="3"/>
        <v>426600</v>
      </c>
      <c r="S21" s="7">
        <f t="shared" si="3"/>
        <v>491245</v>
      </c>
      <c r="T21" s="7">
        <f t="shared" si="3"/>
        <v>494751</v>
      </c>
      <c r="U21" s="7">
        <f t="shared" si="3"/>
        <v>464850</v>
      </c>
      <c r="V21" s="7">
        <f t="shared" si="3"/>
        <v>481792</v>
      </c>
      <c r="W21" s="7">
        <f t="shared" si="3"/>
        <v>524871</v>
      </c>
      <c r="X21" s="7">
        <f t="shared" si="3"/>
        <v>484387</v>
      </c>
    </row>
    <row r="22" spans="2:24" x14ac:dyDescent="0.25">
      <c r="B22" s="1" t="s">
        <v>48</v>
      </c>
      <c r="C22" s="1" t="s">
        <v>133</v>
      </c>
      <c r="D22" s="5"/>
      <c r="E22" s="5"/>
      <c r="F22" s="5"/>
      <c r="G22" s="3">
        <v>296190</v>
      </c>
      <c r="H22" s="3">
        <v>299031</v>
      </c>
      <c r="I22" s="3">
        <v>292022</v>
      </c>
      <c r="J22" s="3">
        <v>303077</v>
      </c>
      <c r="K22" s="3">
        <v>340209</v>
      </c>
      <c r="L22" s="3">
        <v>345341</v>
      </c>
      <c r="M22" s="3">
        <v>358361</v>
      </c>
      <c r="N22" s="3">
        <v>380045</v>
      </c>
      <c r="O22" s="3">
        <v>422848</v>
      </c>
      <c r="P22" s="3">
        <v>418343</v>
      </c>
      <c r="Q22" s="3">
        <v>410481</v>
      </c>
      <c r="R22" s="3">
        <v>430440</v>
      </c>
      <c r="S22" s="3">
        <v>495085</v>
      </c>
      <c r="T22" s="3">
        <v>498591</v>
      </c>
      <c r="U22" s="3">
        <v>468690</v>
      </c>
      <c r="V22" s="3">
        <v>485632</v>
      </c>
      <c r="W22" s="3">
        <v>528711</v>
      </c>
      <c r="X22" s="3">
        <v>488227</v>
      </c>
    </row>
    <row r="23" spans="2:24" x14ac:dyDescent="0.25">
      <c r="D23" s="5"/>
      <c r="E23" s="5"/>
      <c r="F23" s="5"/>
    </row>
    <row r="24" spans="2:24" x14ac:dyDescent="0.25">
      <c r="B24" s="1" t="s">
        <v>19</v>
      </c>
      <c r="C24" s="1" t="s">
        <v>133</v>
      </c>
      <c r="D24" s="5"/>
      <c r="E24" s="5"/>
      <c r="F24" s="5"/>
      <c r="G24" s="3">
        <f>+G14-G18-G22</f>
        <v>0</v>
      </c>
      <c r="H24" s="3">
        <f>+H14-H18-H22</f>
        <v>0</v>
      </c>
      <c r="I24" s="3">
        <f t="shared" ref="I24:X24" si="4">+I14-I18-I22</f>
        <v>0</v>
      </c>
      <c r="J24" s="3">
        <f t="shared" si="4"/>
        <v>0</v>
      </c>
      <c r="K24" s="3">
        <f t="shared" si="4"/>
        <v>0</v>
      </c>
      <c r="L24" s="3">
        <f t="shared" si="4"/>
        <v>0</v>
      </c>
      <c r="M24" s="3">
        <f t="shared" si="4"/>
        <v>0</v>
      </c>
      <c r="N24" s="3">
        <f t="shared" si="4"/>
        <v>0</v>
      </c>
      <c r="O24" s="3">
        <f t="shared" si="4"/>
        <v>0</v>
      </c>
      <c r="P24" s="3">
        <f t="shared" si="4"/>
        <v>0</v>
      </c>
      <c r="Q24" s="3">
        <f t="shared" si="4"/>
        <v>0</v>
      </c>
      <c r="R24" s="3">
        <f t="shared" si="4"/>
        <v>0</v>
      </c>
      <c r="S24" s="3">
        <f t="shared" si="4"/>
        <v>0</v>
      </c>
      <c r="T24" s="3">
        <f t="shared" si="4"/>
        <v>0</v>
      </c>
      <c r="U24" s="3">
        <f t="shared" si="4"/>
        <v>0</v>
      </c>
      <c r="V24" s="3">
        <f t="shared" si="4"/>
        <v>0</v>
      </c>
      <c r="W24" s="3">
        <f t="shared" si="4"/>
        <v>0</v>
      </c>
      <c r="X24" s="3">
        <f t="shared" si="4"/>
        <v>0</v>
      </c>
    </row>
    <row r="25" spans="2:24" x14ac:dyDescent="0.25">
      <c r="D25" s="5"/>
      <c r="E25" s="5"/>
      <c r="F25" s="5"/>
    </row>
    <row r="26" spans="2:24" x14ac:dyDescent="0.25">
      <c r="B26" s="9" t="s">
        <v>20</v>
      </c>
      <c r="C26" s="1" t="s">
        <v>133</v>
      </c>
      <c r="D26" s="5"/>
      <c r="E26" s="5"/>
      <c r="F26" s="5"/>
      <c r="G26" s="10">
        <f>+G18+G22+G24</f>
        <v>492030</v>
      </c>
      <c r="H26" s="10">
        <f>+H18+H22+H24</f>
        <v>539200</v>
      </c>
      <c r="I26" s="10">
        <f t="shared" ref="I26:X26" si="5">+I18+I22+I24</f>
        <v>580275</v>
      </c>
      <c r="J26" s="10">
        <f t="shared" si="5"/>
        <v>617873</v>
      </c>
      <c r="K26" s="10">
        <f t="shared" si="5"/>
        <v>551125</v>
      </c>
      <c r="L26" s="10">
        <f t="shared" si="5"/>
        <v>606555</v>
      </c>
      <c r="M26" s="10">
        <f t="shared" si="5"/>
        <v>598377</v>
      </c>
      <c r="N26" s="10">
        <f t="shared" si="5"/>
        <v>667033</v>
      </c>
      <c r="O26" s="10">
        <f t="shared" si="5"/>
        <v>678222</v>
      </c>
      <c r="P26" s="10">
        <f t="shared" si="5"/>
        <v>752802</v>
      </c>
      <c r="Q26" s="10">
        <f t="shared" si="5"/>
        <v>816469</v>
      </c>
      <c r="R26" s="10">
        <f t="shared" si="5"/>
        <v>874608</v>
      </c>
      <c r="S26" s="10">
        <f t="shared" si="5"/>
        <v>965613</v>
      </c>
      <c r="T26" s="10">
        <f t="shared" si="5"/>
        <v>1003609</v>
      </c>
      <c r="U26" s="10">
        <f t="shared" si="5"/>
        <v>965687</v>
      </c>
      <c r="V26" s="10">
        <f t="shared" si="5"/>
        <v>974908</v>
      </c>
      <c r="W26" s="10">
        <f t="shared" si="5"/>
        <v>978114</v>
      </c>
      <c r="X26" s="10">
        <f t="shared" si="5"/>
        <v>937658</v>
      </c>
    </row>
    <row r="27" spans="2:24" x14ac:dyDescent="0.25">
      <c r="D27" s="5"/>
      <c r="E27" s="5"/>
      <c r="F27" s="5"/>
    </row>
    <row r="28" spans="2:24" x14ac:dyDescent="0.25">
      <c r="B28" s="1" t="s">
        <v>49</v>
      </c>
      <c r="C28" s="1" t="s">
        <v>133</v>
      </c>
      <c r="D28" s="5"/>
      <c r="E28" s="5"/>
      <c r="F28" s="5"/>
      <c r="H28" s="3">
        <f>+H22-G22</f>
        <v>2841</v>
      </c>
      <c r="I28" s="3">
        <f>+I22-H22</f>
        <v>-7009</v>
      </c>
      <c r="J28" s="3">
        <f>+J22-I22</f>
        <v>11055</v>
      </c>
      <c r="K28" s="3">
        <f t="shared" ref="K28:X28" si="6">+K22-J22</f>
        <v>37132</v>
      </c>
      <c r="L28" s="3">
        <f t="shared" si="6"/>
        <v>5132</v>
      </c>
      <c r="M28" s="3">
        <f t="shared" si="6"/>
        <v>13020</v>
      </c>
      <c r="N28" s="3">
        <f t="shared" si="6"/>
        <v>21684</v>
      </c>
      <c r="O28" s="3">
        <f t="shared" si="6"/>
        <v>42803</v>
      </c>
      <c r="P28" s="3">
        <f t="shared" si="6"/>
        <v>-4505</v>
      </c>
      <c r="Q28" s="3">
        <f t="shared" si="6"/>
        <v>-7862</v>
      </c>
      <c r="R28" s="3">
        <f t="shared" si="6"/>
        <v>19959</v>
      </c>
      <c r="S28" s="3">
        <f t="shared" si="6"/>
        <v>64645</v>
      </c>
      <c r="T28" s="3">
        <f t="shared" si="6"/>
        <v>3506</v>
      </c>
      <c r="U28" s="3">
        <f t="shared" si="6"/>
        <v>-29901</v>
      </c>
      <c r="V28" s="3">
        <f t="shared" si="6"/>
        <v>16942</v>
      </c>
      <c r="W28" s="3">
        <f t="shared" si="6"/>
        <v>43079</v>
      </c>
      <c r="X28" s="3">
        <f t="shared" si="6"/>
        <v>-40484</v>
      </c>
    </row>
    <row r="29" spans="2:24" x14ac:dyDescent="0.25">
      <c r="B29" s="1" t="s">
        <v>50</v>
      </c>
      <c r="C29" s="1" t="s">
        <v>133</v>
      </c>
      <c r="D29" s="5"/>
      <c r="E29" s="5"/>
      <c r="F29" s="5"/>
      <c r="H29" s="3">
        <f>+H41</f>
        <v>4601</v>
      </c>
      <c r="I29" s="3">
        <f t="shared" ref="I29:X29" si="7">+I41</f>
        <v>30886</v>
      </c>
      <c r="J29" s="3">
        <f t="shared" si="7"/>
        <v>11067</v>
      </c>
      <c r="K29" s="3">
        <f t="shared" si="7"/>
        <v>37049</v>
      </c>
      <c r="L29" s="3">
        <f t="shared" si="7"/>
        <v>5090</v>
      </c>
      <c r="M29" s="3">
        <f t="shared" si="7"/>
        <v>47696</v>
      </c>
      <c r="N29" s="3">
        <f t="shared" si="7"/>
        <v>24015</v>
      </c>
      <c r="O29" s="3">
        <f t="shared" si="7"/>
        <v>41055</v>
      </c>
      <c r="P29" s="3">
        <f t="shared" si="7"/>
        <v>-6234</v>
      </c>
      <c r="Q29" s="3">
        <f t="shared" si="7"/>
        <v>47917</v>
      </c>
      <c r="R29" s="3">
        <f t="shared" si="7"/>
        <v>17099</v>
      </c>
      <c r="S29" s="3">
        <f t="shared" si="7"/>
        <v>63994</v>
      </c>
      <c r="T29" s="3">
        <f t="shared" si="7"/>
        <v>2678</v>
      </c>
      <c r="U29" s="3">
        <f t="shared" si="7"/>
        <v>42775</v>
      </c>
      <c r="V29" s="3">
        <f t="shared" si="7"/>
        <v>42415</v>
      </c>
      <c r="W29" s="3">
        <f t="shared" si="7"/>
        <v>18446</v>
      </c>
      <c r="X29" s="3">
        <f t="shared" si="7"/>
        <v>-39664</v>
      </c>
    </row>
    <row r="30" spans="2:24" x14ac:dyDescent="0.25">
      <c r="B30" s="23" t="s">
        <v>51</v>
      </c>
      <c r="C30" s="23" t="s">
        <v>133</v>
      </c>
      <c r="D30" s="44"/>
      <c r="E30" s="44"/>
      <c r="F30" s="44"/>
      <c r="G30" s="25"/>
      <c r="H30" s="24">
        <f t="shared" ref="H30" si="8">-H55*1000*H58</f>
        <v>0</v>
      </c>
      <c r="I30" s="24">
        <v>-38400</v>
      </c>
      <c r="J30" s="24">
        <v>0</v>
      </c>
      <c r="K30" s="24">
        <v>0</v>
      </c>
      <c r="L30" s="24">
        <v>0</v>
      </c>
      <c r="M30" s="24">
        <v>-38400</v>
      </c>
      <c r="N30" s="24">
        <v>0</v>
      </c>
      <c r="O30" s="24">
        <v>0</v>
      </c>
      <c r="P30" s="24">
        <v>0</v>
      </c>
      <c r="Q30" s="24">
        <v>-57600</v>
      </c>
      <c r="R30" s="24">
        <v>0</v>
      </c>
      <c r="S30" s="24">
        <v>0</v>
      </c>
      <c r="T30" s="24">
        <v>0</v>
      </c>
      <c r="U30" s="24">
        <v>-61440</v>
      </c>
      <c r="V30" s="24">
        <v>0</v>
      </c>
      <c r="W30" s="24">
        <v>0</v>
      </c>
      <c r="X30" s="24">
        <v>0</v>
      </c>
    </row>
    <row r="31" spans="2:24" x14ac:dyDescent="0.25">
      <c r="B31" s="23" t="s">
        <v>52</v>
      </c>
      <c r="C31" s="23" t="s">
        <v>133</v>
      </c>
      <c r="D31" s="44"/>
      <c r="E31" s="44"/>
      <c r="F31" s="44"/>
      <c r="G31" s="25"/>
      <c r="H31" s="24">
        <f>+H28-H29-H30</f>
        <v>-1760</v>
      </c>
      <c r="I31" s="24">
        <f t="shared" ref="I31:X31" si="9">+I28-I29-I30</f>
        <v>505</v>
      </c>
      <c r="J31" s="24">
        <f t="shared" si="9"/>
        <v>-12</v>
      </c>
      <c r="K31" s="24">
        <f t="shared" si="9"/>
        <v>83</v>
      </c>
      <c r="L31" s="24">
        <f t="shared" si="9"/>
        <v>42</v>
      </c>
      <c r="M31" s="24">
        <f t="shared" si="9"/>
        <v>3724</v>
      </c>
      <c r="N31" s="24">
        <f t="shared" si="9"/>
        <v>-2331</v>
      </c>
      <c r="O31" s="24">
        <f t="shared" si="9"/>
        <v>1748</v>
      </c>
      <c r="P31" s="24">
        <f t="shared" si="9"/>
        <v>1729</v>
      </c>
      <c r="Q31" s="24">
        <f t="shared" si="9"/>
        <v>1821</v>
      </c>
      <c r="R31" s="24">
        <f t="shared" si="9"/>
        <v>2860</v>
      </c>
      <c r="S31" s="24">
        <f t="shared" si="9"/>
        <v>651</v>
      </c>
      <c r="T31" s="24">
        <f t="shared" si="9"/>
        <v>828</v>
      </c>
      <c r="U31" s="24">
        <f t="shared" si="9"/>
        <v>-11236</v>
      </c>
      <c r="V31" s="24">
        <f t="shared" si="9"/>
        <v>-25473</v>
      </c>
      <c r="W31" s="24">
        <f t="shared" si="9"/>
        <v>24633</v>
      </c>
      <c r="X31" s="24">
        <f t="shared" si="9"/>
        <v>-820</v>
      </c>
    </row>
    <row r="32" spans="2:24" x14ac:dyDescent="0.25">
      <c r="C32" s="5"/>
      <c r="D32" s="5"/>
      <c r="E32" s="5"/>
      <c r="F32" s="5"/>
    </row>
    <row r="33" spans="2:27" ht="30" x14ac:dyDescent="0.25">
      <c r="B33" s="12" t="s">
        <v>30</v>
      </c>
      <c r="C33" s="38"/>
      <c r="D33" s="38"/>
      <c r="E33" s="38"/>
      <c r="F33" s="38"/>
      <c r="K33" s="22"/>
      <c r="M33" s="22"/>
      <c r="O33" s="22"/>
      <c r="P33" s="22"/>
      <c r="S33" s="22"/>
      <c r="T33" s="22"/>
      <c r="W33" s="22"/>
      <c r="Z33" s="45">
        <v>2008</v>
      </c>
      <c r="AA33" s="48" t="s">
        <v>145</v>
      </c>
    </row>
    <row r="34" spans="2:27" x14ac:dyDescent="0.25">
      <c r="D34" s="5"/>
      <c r="E34" s="5"/>
      <c r="F34" s="5"/>
    </row>
    <row r="35" spans="2:27" x14ac:dyDescent="0.25">
      <c r="B35" s="1" t="s">
        <v>2</v>
      </c>
      <c r="C35" s="1" t="s">
        <v>133</v>
      </c>
      <c r="D35" s="46">
        <f>+K137*Z35</f>
        <v>145730.88974053666</v>
      </c>
      <c r="E35" s="46">
        <f>+K138*Z35</f>
        <v>204085.56671112869</v>
      </c>
      <c r="F35" s="46">
        <f>+K139*Z35</f>
        <v>188286.32238133499</v>
      </c>
      <c r="G35" s="46">
        <f>+K140*Z35</f>
        <v>230908.2211669996</v>
      </c>
      <c r="H35" s="3">
        <v>166700</v>
      </c>
      <c r="I35" s="3">
        <f>422258-H35</f>
        <v>255558</v>
      </c>
      <c r="J35" s="3">
        <f>651831-I35-H35</f>
        <v>229573</v>
      </c>
      <c r="K35" s="3">
        <f>922408-J35-I35-H35</f>
        <v>270577</v>
      </c>
      <c r="L35" s="3">
        <v>195708</v>
      </c>
      <c r="M35" s="3">
        <f>440264-L35</f>
        <v>244556</v>
      </c>
      <c r="N35" s="3">
        <f>708181-M35-L35</f>
        <v>267917</v>
      </c>
      <c r="O35" s="3">
        <f>1028559-N35-M35-L35</f>
        <v>320378</v>
      </c>
      <c r="P35" s="3">
        <v>184925</v>
      </c>
      <c r="Q35" s="3">
        <f>484257-P35</f>
        <v>299332</v>
      </c>
      <c r="R35" s="3">
        <f>726845-Q35-P35</f>
        <v>242588</v>
      </c>
      <c r="S35" s="3">
        <f>1091260-R35-Q35-P35</f>
        <v>364415</v>
      </c>
      <c r="T35" s="3">
        <v>256605</v>
      </c>
      <c r="U35" s="3">
        <f>583016-T35</f>
        <v>326411</v>
      </c>
      <c r="V35" s="3">
        <f>881637-U35-T35</f>
        <v>298621</v>
      </c>
      <c r="W35" s="3">
        <f>1317457-V35-U35-T35</f>
        <v>435820</v>
      </c>
      <c r="X35" s="3">
        <v>221223</v>
      </c>
      <c r="Z35" s="3">
        <v>769011</v>
      </c>
      <c r="AA35" s="3">
        <f t="shared" ref="AA35:AA41" si="10">SUM(D35:G35)</f>
        <v>769011</v>
      </c>
    </row>
    <row r="36" spans="2:27" ht="30" x14ac:dyDescent="0.25">
      <c r="B36" s="13" t="s">
        <v>22</v>
      </c>
      <c r="C36" s="13" t="s">
        <v>133</v>
      </c>
      <c r="D36" s="46">
        <f>+Z36*K157</f>
        <v>134687.22297852344</v>
      </c>
      <c r="E36" s="46">
        <f>+Z36*K158</f>
        <v>160804.67625731789</v>
      </c>
      <c r="F36" s="46">
        <f>+Z36*K159</f>
        <v>162236.01188589315</v>
      </c>
      <c r="G36" s="46">
        <f>+Z36*K160</f>
        <v>178335.08887826555</v>
      </c>
      <c r="H36" s="3">
        <f>+H35-H37</f>
        <v>159207</v>
      </c>
      <c r="I36" s="3">
        <f t="shared" ref="I36:X36" si="11">+I35-I37</f>
        <v>216313</v>
      </c>
      <c r="J36" s="3">
        <f t="shared" si="11"/>
        <v>213990</v>
      </c>
      <c r="K36" s="3">
        <f t="shared" si="11"/>
        <v>224739</v>
      </c>
      <c r="L36" s="3">
        <f t="shared" si="11"/>
        <v>186536</v>
      </c>
      <c r="M36" s="3">
        <f t="shared" ref="M36" si="12">+M35-M37</f>
        <v>205903</v>
      </c>
      <c r="N36" s="3">
        <f t="shared" ref="N36" si="13">+N35-N37</f>
        <v>236680</v>
      </c>
      <c r="O36" s="3">
        <f t="shared" ref="O36" si="14">+O35-O37</f>
        <v>270321</v>
      </c>
      <c r="P36" s="3">
        <f t="shared" si="11"/>
        <v>186832</v>
      </c>
      <c r="Q36" s="3">
        <f t="shared" ref="Q36" si="15">+Q35-Q37</f>
        <v>241864</v>
      </c>
      <c r="R36" s="3">
        <f t="shared" ref="R36" si="16">+R35-R37</f>
        <v>219707</v>
      </c>
      <c r="S36" s="3">
        <f t="shared" ref="S36" si="17">+S35-S37</f>
        <v>283805</v>
      </c>
      <c r="T36" s="3">
        <f t="shared" si="11"/>
        <v>251740</v>
      </c>
      <c r="U36" s="3">
        <f t="shared" ref="U36" si="18">+U35-U37</f>
        <v>272323</v>
      </c>
      <c r="V36" s="3">
        <f t="shared" ref="V36" si="19">+V35-V37</f>
        <v>274361</v>
      </c>
      <c r="W36" s="3">
        <f t="shared" ref="W36" si="20">+W35-W37</f>
        <v>377699</v>
      </c>
      <c r="X36" s="3">
        <f t="shared" si="11"/>
        <v>255127</v>
      </c>
      <c r="Z36" s="3">
        <f>+Z35-Z37</f>
        <v>636063</v>
      </c>
      <c r="AA36" s="3">
        <f t="shared" si="10"/>
        <v>636063.00000000012</v>
      </c>
    </row>
    <row r="37" spans="2:27" x14ac:dyDescent="0.25">
      <c r="B37" s="13" t="s">
        <v>25</v>
      </c>
      <c r="C37" s="13" t="s">
        <v>133</v>
      </c>
      <c r="D37" s="46">
        <f t="shared" ref="D37:F37" si="21">+D35-D36</f>
        <v>11043.666762013221</v>
      </c>
      <c r="E37" s="46">
        <f t="shared" si="21"/>
        <v>43280.890453810804</v>
      </c>
      <c r="F37" s="46">
        <f t="shared" si="21"/>
        <v>26050.310495441838</v>
      </c>
      <c r="G37" s="46">
        <f>+G35-G36</f>
        <v>52573.13228873405</v>
      </c>
      <c r="H37" s="3">
        <v>7493</v>
      </c>
      <c r="I37" s="3">
        <f>46738-H37</f>
        <v>39245</v>
      </c>
      <c r="J37" s="3">
        <f>62321-I37-H37</f>
        <v>15583</v>
      </c>
      <c r="K37" s="3">
        <f>108159-J37-I37-H37</f>
        <v>45838</v>
      </c>
      <c r="L37" s="3">
        <v>9172</v>
      </c>
      <c r="M37" s="3">
        <f>47825-L37</f>
        <v>38653</v>
      </c>
      <c r="N37" s="3">
        <f>79062-M37-L37</f>
        <v>31237</v>
      </c>
      <c r="O37" s="3">
        <f>129119-N37-M37-L37</f>
        <v>50057</v>
      </c>
      <c r="P37" s="3">
        <v>-1907</v>
      </c>
      <c r="Q37" s="3">
        <f>55561-P37</f>
        <v>57468</v>
      </c>
      <c r="R37" s="3">
        <f>78442-Q37-P37</f>
        <v>22881</v>
      </c>
      <c r="S37" s="3">
        <f>159052-R37-Q37-P37</f>
        <v>80610</v>
      </c>
      <c r="T37" s="3">
        <v>4865</v>
      </c>
      <c r="U37" s="3">
        <f>58953-T37</f>
        <v>54088</v>
      </c>
      <c r="V37" s="3">
        <f>83213-U37-T37</f>
        <v>24260</v>
      </c>
      <c r="W37" s="3">
        <f>141334-V37-U37-T37</f>
        <v>58121</v>
      </c>
      <c r="X37" s="3">
        <v>-33904</v>
      </c>
      <c r="Z37" s="3">
        <v>132948</v>
      </c>
      <c r="AA37" s="3">
        <f t="shared" si="10"/>
        <v>132947.99999999991</v>
      </c>
    </row>
    <row r="38" spans="2:27" ht="30" x14ac:dyDescent="0.25">
      <c r="B38" s="13" t="s">
        <v>21</v>
      </c>
      <c r="C38" s="13" t="s">
        <v>133</v>
      </c>
      <c r="D38" s="46">
        <f>+K167*Z38</f>
        <v>-1870.1322148727577</v>
      </c>
      <c r="E38" s="46">
        <f>+K168*Z38</f>
        <v>-3478.4844167240676</v>
      </c>
      <c r="F38" s="46">
        <f>+K169*Z38</f>
        <v>-2615.0503401617298</v>
      </c>
      <c r="G38" s="46">
        <f>+K170*Z38</f>
        <v>-1750.3330282414438</v>
      </c>
      <c r="H38" s="3">
        <f>+H39-H37</f>
        <v>-2791</v>
      </c>
      <c r="I38" s="3">
        <f t="shared" ref="I38:X38" si="22">+I39-I37</f>
        <v>-1369</v>
      </c>
      <c r="J38" s="3">
        <f t="shared" si="22"/>
        <v>-2244</v>
      </c>
      <c r="K38" s="3">
        <f t="shared" si="22"/>
        <v>-2078</v>
      </c>
      <c r="L38" s="3">
        <f t="shared" si="22"/>
        <v>-1973</v>
      </c>
      <c r="M38" s="3">
        <f t="shared" ref="M38" si="23">+M39-M37</f>
        <v>-2403</v>
      </c>
      <c r="N38" s="3">
        <f t="shared" ref="N38" si="24">+N39-N37</f>
        <v>-1712</v>
      </c>
      <c r="O38" s="3">
        <f t="shared" ref="O38" si="25">+O39-O37</f>
        <v>-422</v>
      </c>
      <c r="P38" s="3">
        <f t="shared" si="22"/>
        <v>-1767</v>
      </c>
      <c r="Q38" s="3">
        <f t="shared" ref="Q38" si="26">+Q39-Q37</f>
        <v>-1968</v>
      </c>
      <c r="R38" s="3">
        <f t="shared" ref="R38" si="27">+R39-R37</f>
        <v>-1669</v>
      </c>
      <c r="S38" s="3">
        <f t="shared" ref="S38" si="28">+S39-S37</f>
        <v>-2274</v>
      </c>
      <c r="T38" s="3">
        <f t="shared" si="22"/>
        <v>-270</v>
      </c>
      <c r="U38" s="3">
        <f t="shared" ref="U38" si="29">+U39-U37</f>
        <v>-6910</v>
      </c>
      <c r="V38" s="3">
        <f t="shared" ref="V38" si="30">+V39-V37</f>
        <v>-3885</v>
      </c>
      <c r="W38" s="3">
        <f t="shared" ref="W38" si="31">+W39-W37</f>
        <v>-3946</v>
      </c>
      <c r="X38" s="3">
        <f t="shared" si="22"/>
        <v>-3472</v>
      </c>
      <c r="Z38" s="3">
        <f>+Z39-Z37</f>
        <v>-9714</v>
      </c>
      <c r="AA38" s="3">
        <f t="shared" si="10"/>
        <v>-9714</v>
      </c>
    </row>
    <row r="39" spans="2:27" x14ac:dyDescent="0.25">
      <c r="B39" s="1" t="s">
        <v>0</v>
      </c>
      <c r="C39" s="1" t="s">
        <v>133</v>
      </c>
      <c r="D39" s="46">
        <f>+D37+D38</f>
        <v>9173.5345471404635</v>
      </c>
      <c r="E39" s="46">
        <f t="shared" ref="E39:G39" si="32">+E37+E38</f>
        <v>39802.406037086737</v>
      </c>
      <c r="F39" s="46">
        <f t="shared" si="32"/>
        <v>23435.260155280106</v>
      </c>
      <c r="G39" s="46">
        <f t="shared" si="32"/>
        <v>50822.799260492604</v>
      </c>
      <c r="H39" s="3">
        <v>4702</v>
      </c>
      <c r="I39" s="3">
        <f>42578-H39</f>
        <v>37876</v>
      </c>
      <c r="J39" s="3">
        <f>55917-I39-H39</f>
        <v>13339</v>
      </c>
      <c r="K39" s="3">
        <f>99677-J39-I39-H39</f>
        <v>43760</v>
      </c>
      <c r="L39" s="3">
        <v>7199</v>
      </c>
      <c r="M39" s="3">
        <f>43449-L39</f>
        <v>36250</v>
      </c>
      <c r="N39" s="3">
        <f>72974-M39-L39</f>
        <v>29525</v>
      </c>
      <c r="O39" s="3">
        <f>122609-N39-M39-L39</f>
        <v>49635</v>
      </c>
      <c r="P39" s="3">
        <v>-3674</v>
      </c>
      <c r="Q39" s="3">
        <f>51826-P39</f>
        <v>55500</v>
      </c>
      <c r="R39" s="3">
        <f>73038-Q39-P39</f>
        <v>21212</v>
      </c>
      <c r="S39" s="3">
        <f>151374-R39-Q39-P39</f>
        <v>78336</v>
      </c>
      <c r="T39" s="3">
        <v>4595</v>
      </c>
      <c r="U39" s="3">
        <f>51773-T39</f>
        <v>47178</v>
      </c>
      <c r="V39" s="3">
        <f>72148-U39-T39</f>
        <v>20375</v>
      </c>
      <c r="W39" s="3">
        <f>126323-V39-U39-T39</f>
        <v>54175</v>
      </c>
      <c r="X39" s="3">
        <v>-37376</v>
      </c>
      <c r="Z39" s="3">
        <v>123234</v>
      </c>
      <c r="AA39" s="3">
        <f t="shared" si="10"/>
        <v>123233.99999999991</v>
      </c>
    </row>
    <row r="40" spans="2:27" x14ac:dyDescent="0.25">
      <c r="B40" s="16" t="s">
        <v>23</v>
      </c>
      <c r="C40" s="13" t="s">
        <v>133</v>
      </c>
      <c r="D40" s="46">
        <f>+Z40*K177</f>
        <v>3028.45181570655</v>
      </c>
      <c r="E40" s="46">
        <f>+Z40*K178</f>
        <v>3410.235108758834</v>
      </c>
      <c r="F40" s="46">
        <f>+Z40*K179</f>
        <v>-4594.5332242175791</v>
      </c>
      <c r="G40" s="47">
        <f>+Z40*K180</f>
        <v>17893.846299752197</v>
      </c>
      <c r="H40" s="14">
        <f>+H39-H41</f>
        <v>101</v>
      </c>
      <c r="I40" s="14">
        <f t="shared" ref="I40:X40" si="33">+I39-I41</f>
        <v>6990</v>
      </c>
      <c r="J40" s="14">
        <f t="shared" si="33"/>
        <v>2272</v>
      </c>
      <c r="K40" s="14">
        <f t="shared" si="33"/>
        <v>6711</v>
      </c>
      <c r="L40" s="14">
        <f t="shared" si="33"/>
        <v>2109</v>
      </c>
      <c r="M40" s="14">
        <f t="shared" ref="M40" si="34">+M39-M41</f>
        <v>-11446</v>
      </c>
      <c r="N40" s="14">
        <f t="shared" ref="N40" si="35">+N39-N41</f>
        <v>5510</v>
      </c>
      <c r="O40" s="14">
        <f t="shared" ref="O40" si="36">+O39-O41</f>
        <v>8580</v>
      </c>
      <c r="P40" s="14">
        <f t="shared" si="33"/>
        <v>2560</v>
      </c>
      <c r="Q40" s="14">
        <f t="shared" ref="Q40" si="37">+Q39-Q41</f>
        <v>7583</v>
      </c>
      <c r="R40" s="14">
        <f t="shared" ref="R40" si="38">+R39-R41</f>
        <v>4113</v>
      </c>
      <c r="S40" s="14">
        <f t="shared" ref="S40" si="39">+S39-S41</f>
        <v>14342</v>
      </c>
      <c r="T40" s="14">
        <f t="shared" si="33"/>
        <v>1917</v>
      </c>
      <c r="U40" s="14">
        <f t="shared" ref="U40" si="40">+U39-U41</f>
        <v>4403</v>
      </c>
      <c r="V40" s="14">
        <f t="shared" ref="V40" si="41">+V39-V41</f>
        <v>-22040</v>
      </c>
      <c r="W40" s="14">
        <f t="shared" ref="W40" si="42">+W39-W41</f>
        <v>35729</v>
      </c>
      <c r="X40" s="14">
        <f t="shared" si="33"/>
        <v>2288</v>
      </c>
      <c r="Z40" s="3">
        <f>+Z39-Z41</f>
        <v>19738</v>
      </c>
      <c r="AA40" s="3">
        <f t="shared" si="10"/>
        <v>19738</v>
      </c>
    </row>
    <row r="41" spans="2:27" x14ac:dyDescent="0.25">
      <c r="B41" s="1" t="s">
        <v>1</v>
      </c>
      <c r="C41" s="1" t="s">
        <v>133</v>
      </c>
      <c r="D41" s="46">
        <f t="shared" ref="D41:F41" si="43">+D39-D40</f>
        <v>6145.0827314339131</v>
      </c>
      <c r="E41" s="46">
        <f t="shared" si="43"/>
        <v>36392.170928327905</v>
      </c>
      <c r="F41" s="46">
        <f t="shared" si="43"/>
        <v>28029.793379497685</v>
      </c>
      <c r="G41" s="46">
        <f>+G39-G40</f>
        <v>32928.952960740411</v>
      </c>
      <c r="H41" s="3">
        <v>4601</v>
      </c>
      <c r="I41" s="3">
        <f>35487-H41</f>
        <v>30886</v>
      </c>
      <c r="J41" s="3">
        <f>46554-I41-H41</f>
        <v>11067</v>
      </c>
      <c r="K41" s="3">
        <f>83603-J41-I41-H41</f>
        <v>37049</v>
      </c>
      <c r="L41" s="3">
        <v>5090</v>
      </c>
      <c r="M41" s="3">
        <f>52786-L41</f>
        <v>47696</v>
      </c>
      <c r="N41" s="3">
        <f>76801-M41-L41</f>
        <v>24015</v>
      </c>
      <c r="O41" s="3">
        <f>117856-N41-M41-L41</f>
        <v>41055</v>
      </c>
      <c r="P41" s="3">
        <v>-6234</v>
      </c>
      <c r="Q41" s="3">
        <f>41683-P41</f>
        <v>47917</v>
      </c>
      <c r="R41" s="3">
        <f>58782-Q41-P41</f>
        <v>17099</v>
      </c>
      <c r="S41" s="3">
        <f>122776-R41-Q41-P41</f>
        <v>63994</v>
      </c>
      <c r="T41" s="3">
        <v>2678</v>
      </c>
      <c r="U41" s="3">
        <f>45453-T41</f>
        <v>42775</v>
      </c>
      <c r="V41" s="3">
        <f>87868-U41-T41</f>
        <v>42415</v>
      </c>
      <c r="W41" s="3">
        <f>106314-V41-U41-T41</f>
        <v>18446</v>
      </c>
      <c r="X41" s="3">
        <v>-39664</v>
      </c>
      <c r="Z41" s="3">
        <v>103496</v>
      </c>
      <c r="AA41" s="3">
        <f t="shared" si="10"/>
        <v>103495.99999999991</v>
      </c>
    </row>
    <row r="42" spans="2:27" x14ac:dyDescent="0.25">
      <c r="B42" s="5"/>
      <c r="C42" s="5"/>
      <c r="D42" s="5"/>
      <c r="E42" s="5"/>
      <c r="F42" s="5"/>
      <c r="G42" s="33"/>
      <c r="H42" s="33"/>
      <c r="I42" s="33"/>
      <c r="J42" s="33"/>
      <c r="K42" s="33"/>
      <c r="L42" s="33"/>
      <c r="M42" s="33"/>
      <c r="N42" s="33"/>
    </row>
    <row r="43" spans="2:27" ht="30" hidden="1" x14ac:dyDescent="0.25">
      <c r="B43" s="20" t="s">
        <v>31</v>
      </c>
      <c r="C43" s="39"/>
      <c r="D43" s="39"/>
      <c r="E43" s="39"/>
      <c r="F43" s="39"/>
      <c r="G43" s="15"/>
      <c r="H43" s="15"/>
      <c r="O43" s="22"/>
      <c r="T43" s="22"/>
      <c r="W43" s="22"/>
    </row>
    <row r="44" spans="2:27" hidden="1" x14ac:dyDescent="0.25">
      <c r="B44" s="5"/>
      <c r="C44" s="5"/>
      <c r="D44" s="5"/>
      <c r="E44" s="5"/>
      <c r="F44" s="5"/>
      <c r="G44" s="15"/>
      <c r="H44" s="15"/>
    </row>
    <row r="45" spans="2:27" hidden="1" x14ac:dyDescent="0.25">
      <c r="B45" s="6" t="s">
        <v>3</v>
      </c>
      <c r="C45" s="6" t="s">
        <v>133</v>
      </c>
      <c r="D45" s="43"/>
      <c r="E45" s="43"/>
      <c r="F45" s="43"/>
      <c r="G45" s="7">
        <v>43559</v>
      </c>
      <c r="H45" s="7">
        <v>-29186</v>
      </c>
      <c r="I45" s="7">
        <v>-14067</v>
      </c>
      <c r="J45" s="7">
        <v>5344</v>
      </c>
      <c r="K45" s="7">
        <v>124659</v>
      </c>
      <c r="L45" s="7">
        <v>-41607</v>
      </c>
      <c r="M45" s="7">
        <v>10409</v>
      </c>
      <c r="N45" s="7">
        <v>24285</v>
      </c>
      <c r="O45" s="7">
        <v>89202</v>
      </c>
      <c r="P45" s="7">
        <v>-102793</v>
      </c>
      <c r="Q45" s="7">
        <v>-23858</v>
      </c>
      <c r="R45" s="7">
        <v>-70322</v>
      </c>
      <c r="S45" s="7">
        <v>-13360</v>
      </c>
      <c r="T45" s="7">
        <v>-39135</v>
      </c>
      <c r="U45" s="7">
        <v>47590</v>
      </c>
      <c r="V45" s="7">
        <v>87868</v>
      </c>
      <c r="W45" s="7">
        <v>207441</v>
      </c>
      <c r="X45" s="7">
        <v>-125608</v>
      </c>
    </row>
    <row r="46" spans="2:27" hidden="1" x14ac:dyDescent="0.25">
      <c r="B46" s="6" t="s">
        <v>4</v>
      </c>
      <c r="C46" s="6" t="s">
        <v>133</v>
      </c>
      <c r="D46" s="43"/>
      <c r="E46" s="43"/>
      <c r="F46" s="43"/>
      <c r="G46" s="7">
        <v>-57689</v>
      </c>
      <c r="H46" s="7">
        <v>-11928</v>
      </c>
      <c r="I46" s="7">
        <v>-25871</v>
      </c>
      <c r="J46" s="7">
        <v>-35945</v>
      </c>
      <c r="K46" s="7">
        <v>-44838</v>
      </c>
      <c r="L46" s="7">
        <v>-24595</v>
      </c>
      <c r="M46" s="7">
        <v>-30767</v>
      </c>
      <c r="N46" s="7">
        <v>-46539</v>
      </c>
      <c r="O46" s="7">
        <v>-51580</v>
      </c>
      <c r="P46" s="7">
        <v>-26380</v>
      </c>
      <c r="Q46" s="7">
        <v>-52716</v>
      </c>
      <c r="R46" s="7">
        <v>-75646</v>
      </c>
      <c r="S46" s="7">
        <v>-96180</v>
      </c>
      <c r="T46" s="7">
        <v>-10704</v>
      </c>
      <c r="U46" s="7">
        <v>-37159</v>
      </c>
      <c r="V46" s="7">
        <v>-51166</v>
      </c>
      <c r="W46" s="7">
        <v>-51194</v>
      </c>
      <c r="X46" s="7">
        <v>-11749</v>
      </c>
    </row>
    <row r="47" spans="2:27" hidden="1" x14ac:dyDescent="0.25">
      <c r="B47" s="6" t="s">
        <v>5</v>
      </c>
      <c r="C47" s="6" t="s">
        <v>133</v>
      </c>
      <c r="D47" s="43"/>
      <c r="E47" s="43"/>
      <c r="F47" s="43"/>
      <c r="G47" s="7">
        <v>18601</v>
      </c>
      <c r="H47" s="7">
        <v>34626</v>
      </c>
      <c r="I47" s="7">
        <v>41452</v>
      </c>
      <c r="J47" s="7">
        <v>50939</v>
      </c>
      <c r="K47" s="7">
        <v>-34284</v>
      </c>
      <c r="L47" s="7">
        <v>21971</v>
      </c>
      <c r="M47" s="7">
        <v>-10492</v>
      </c>
      <c r="N47" s="7">
        <v>-5306</v>
      </c>
      <c r="O47" s="7">
        <v>-15452</v>
      </c>
      <c r="P47" s="7">
        <v>65498</v>
      </c>
      <c r="Q47" s="7">
        <v>52641</v>
      </c>
      <c r="R47" s="7">
        <v>77593</v>
      </c>
      <c r="S47" s="7">
        <v>61401</v>
      </c>
      <c r="T47" s="7">
        <v>35179</v>
      </c>
      <c r="U47" s="7">
        <v>5683</v>
      </c>
      <c r="V47" s="7">
        <v>-8529</v>
      </c>
      <c r="W47" s="7">
        <v>-65465</v>
      </c>
      <c r="X47" s="7">
        <v>37733</v>
      </c>
    </row>
    <row r="48" spans="2:27" hidden="1" x14ac:dyDescent="0.25">
      <c r="B48" s="1" t="s">
        <v>6</v>
      </c>
      <c r="C48" s="1" t="s">
        <v>133</v>
      </c>
      <c r="D48" s="5"/>
      <c r="E48" s="5"/>
      <c r="F48" s="5"/>
      <c r="G48" s="3">
        <v>4471</v>
      </c>
      <c r="H48" s="3">
        <v>-6488</v>
      </c>
      <c r="I48" s="3">
        <v>1514</v>
      </c>
      <c r="J48" s="3">
        <v>20338</v>
      </c>
      <c r="K48" s="3">
        <v>45537</v>
      </c>
      <c r="L48" s="3">
        <v>-44231</v>
      </c>
      <c r="M48" s="3">
        <v>-30850</v>
      </c>
      <c r="N48" s="3">
        <v>-27560</v>
      </c>
      <c r="O48" s="3">
        <v>22170</v>
      </c>
      <c r="P48" s="3">
        <v>-63675</v>
      </c>
      <c r="Q48" s="3">
        <v>-23933</v>
      </c>
      <c r="R48" s="3">
        <v>-68375</v>
      </c>
      <c r="S48" s="3">
        <v>-48139</v>
      </c>
      <c r="T48" s="3">
        <v>-14660</v>
      </c>
      <c r="U48" s="3">
        <v>16114</v>
      </c>
      <c r="V48" s="3">
        <v>28173</v>
      </c>
      <c r="W48" s="3">
        <v>90782</v>
      </c>
      <c r="X48" s="3">
        <v>-99624</v>
      </c>
    </row>
    <row r="49" spans="2:24" hidden="1" x14ac:dyDescent="0.25">
      <c r="B49" s="5"/>
      <c r="C49" s="5"/>
      <c r="D49" s="5"/>
      <c r="E49" s="5"/>
      <c r="F49" s="5"/>
      <c r="G49" s="15"/>
      <c r="H49" s="15"/>
    </row>
    <row r="50" spans="2:24" ht="30" hidden="1" x14ac:dyDescent="0.25">
      <c r="B50" s="18" t="s">
        <v>24</v>
      </c>
      <c r="C50" s="40"/>
      <c r="D50" s="40"/>
      <c r="E50" s="40"/>
      <c r="F50" s="40"/>
      <c r="G50" s="3">
        <f>+G45+G46+G47-G48</f>
        <v>0</v>
      </c>
      <c r="H50" s="3">
        <f>+H45+H46+H47-H48</f>
        <v>0</v>
      </c>
      <c r="I50" s="3">
        <f t="shared" ref="I50:X50" si="44">+I45+I46+I47-I48</f>
        <v>0</v>
      </c>
      <c r="J50" s="3">
        <f t="shared" si="44"/>
        <v>0</v>
      </c>
      <c r="K50" s="3">
        <f t="shared" si="44"/>
        <v>0</v>
      </c>
      <c r="L50" s="3">
        <f t="shared" si="44"/>
        <v>0</v>
      </c>
      <c r="M50" s="3">
        <f t="shared" si="44"/>
        <v>0</v>
      </c>
      <c r="N50" s="3">
        <f t="shared" si="44"/>
        <v>0</v>
      </c>
      <c r="O50" s="3">
        <f t="shared" si="44"/>
        <v>0</v>
      </c>
      <c r="P50" s="3">
        <f t="shared" si="44"/>
        <v>0</v>
      </c>
      <c r="Q50" s="3">
        <f t="shared" si="44"/>
        <v>0</v>
      </c>
      <c r="R50" s="3">
        <f t="shared" si="44"/>
        <v>0</v>
      </c>
      <c r="S50" s="3">
        <f t="shared" si="44"/>
        <v>0</v>
      </c>
      <c r="T50" s="3">
        <f t="shared" si="44"/>
        <v>0</v>
      </c>
      <c r="U50" s="3">
        <f t="shared" si="44"/>
        <v>0</v>
      </c>
      <c r="V50" s="3">
        <f t="shared" si="44"/>
        <v>0</v>
      </c>
      <c r="W50" s="3">
        <f t="shared" si="44"/>
        <v>0</v>
      </c>
      <c r="X50" s="3">
        <f t="shared" si="44"/>
        <v>0</v>
      </c>
    </row>
    <row r="51" spans="2:24" ht="30" hidden="1" x14ac:dyDescent="0.25">
      <c r="B51" s="18" t="s">
        <v>29</v>
      </c>
      <c r="C51" s="40"/>
      <c r="D51" s="40"/>
      <c r="E51" s="40"/>
      <c r="F51" s="40"/>
      <c r="G51" s="15"/>
      <c r="H51" s="3">
        <f>+H8-G8-H48</f>
        <v>0</v>
      </c>
      <c r="I51" s="3">
        <f>+I8-H8-I48</f>
        <v>6488</v>
      </c>
      <c r="J51" s="3">
        <f>+J8-I8-J48</f>
        <v>-1514</v>
      </c>
      <c r="K51" s="3">
        <f t="shared" ref="K51:X51" si="45">+K8-J8-K48</f>
        <v>-20338</v>
      </c>
      <c r="L51" s="3">
        <f t="shared" si="45"/>
        <v>0</v>
      </c>
      <c r="M51" s="3">
        <f t="shared" si="45"/>
        <v>44231</v>
      </c>
      <c r="N51" s="3">
        <f t="shared" si="45"/>
        <v>30850</v>
      </c>
      <c r="O51" s="3">
        <f t="shared" si="45"/>
        <v>27560</v>
      </c>
      <c r="P51" s="3">
        <f t="shared" si="45"/>
        <v>0</v>
      </c>
      <c r="Q51" s="3">
        <f t="shared" si="45"/>
        <v>63675</v>
      </c>
      <c r="R51" s="3">
        <f t="shared" si="45"/>
        <v>23933</v>
      </c>
      <c r="S51" s="3">
        <f t="shared" si="45"/>
        <v>68375</v>
      </c>
      <c r="T51" s="3">
        <f t="shared" si="45"/>
        <v>0</v>
      </c>
      <c r="U51" s="3">
        <f t="shared" si="45"/>
        <v>14660</v>
      </c>
      <c r="V51" s="3">
        <f t="shared" si="45"/>
        <v>-16114</v>
      </c>
      <c r="W51" s="3">
        <f t="shared" si="45"/>
        <v>-28173</v>
      </c>
      <c r="X51" s="3">
        <f t="shared" si="45"/>
        <v>0</v>
      </c>
    </row>
    <row r="52" spans="2:24" hidden="1" x14ac:dyDescent="0.25">
      <c r="B52" s="5"/>
      <c r="C52" s="5"/>
      <c r="D52" s="5"/>
      <c r="E52" s="5"/>
      <c r="F52" s="5"/>
      <c r="G52" s="15"/>
      <c r="H52" s="15"/>
    </row>
    <row r="53" spans="2:24" x14ac:dyDescent="0.25">
      <c r="B53" s="17" t="s">
        <v>27</v>
      </c>
      <c r="C53" s="41"/>
      <c r="D53" s="41"/>
      <c r="E53" s="41"/>
      <c r="F53" s="41"/>
      <c r="G53" s="15"/>
      <c r="H53" s="15"/>
    </row>
    <row r="54" spans="2:24" x14ac:dyDescent="0.25">
      <c r="B54" s="5"/>
      <c r="C54" s="5"/>
      <c r="D54" s="5"/>
      <c r="E54" s="5"/>
      <c r="F54" s="5"/>
      <c r="G54" s="15"/>
      <c r="H54" s="15"/>
    </row>
    <row r="55" spans="2:24" x14ac:dyDescent="0.25">
      <c r="B55" s="1" t="s">
        <v>137</v>
      </c>
      <c r="C55" s="1" t="s">
        <v>136</v>
      </c>
      <c r="D55" s="5"/>
      <c r="E55" s="5"/>
      <c r="F55" s="5"/>
      <c r="G55" s="4">
        <v>38.4</v>
      </c>
      <c r="H55" s="4">
        <v>38.4</v>
      </c>
      <c r="I55" s="4">
        <v>38.4</v>
      </c>
      <c r="J55" s="4">
        <v>38.4</v>
      </c>
      <c r="K55" s="4">
        <v>38.4</v>
      </c>
      <c r="L55" s="4">
        <v>38.4</v>
      </c>
      <c r="M55" s="4">
        <v>38.4</v>
      </c>
      <c r="N55" s="4">
        <v>38.4</v>
      </c>
      <c r="O55" s="4">
        <v>38.4</v>
      </c>
      <c r="P55" s="4">
        <v>38.4</v>
      </c>
      <c r="Q55" s="4">
        <v>38.4</v>
      </c>
      <c r="R55" s="4">
        <v>38.4</v>
      </c>
      <c r="S55" s="4">
        <v>38.4</v>
      </c>
      <c r="T55" s="4">
        <v>38.4</v>
      </c>
      <c r="U55" s="4">
        <v>38.4</v>
      </c>
      <c r="V55" s="4">
        <v>38.4</v>
      </c>
      <c r="W55" s="4">
        <v>38.4</v>
      </c>
      <c r="X55" s="4">
        <v>38.4</v>
      </c>
    </row>
    <row r="56" spans="2:24" x14ac:dyDescent="0.25">
      <c r="B56" s="6" t="s">
        <v>28</v>
      </c>
      <c r="C56" s="6" t="s">
        <v>138</v>
      </c>
      <c r="D56" s="43"/>
      <c r="E56" s="43"/>
      <c r="F56" s="43"/>
      <c r="G56" s="19">
        <f>+(G20*1000)/(G55*1000000)</f>
        <v>0.1</v>
      </c>
      <c r="H56" s="19">
        <f>+(H20*1000)/(H55*1000000)</f>
        <v>0.1</v>
      </c>
      <c r="I56" s="19">
        <f t="shared" ref="I56:X56" si="46">+(I20*1000)/(I55*1000000)</f>
        <v>0.1</v>
      </c>
      <c r="J56" s="19">
        <f t="shared" si="46"/>
        <v>0.1</v>
      </c>
      <c r="K56" s="19">
        <f t="shared" si="46"/>
        <v>0.1</v>
      </c>
      <c r="L56" s="19">
        <f t="shared" si="46"/>
        <v>0.1</v>
      </c>
      <c r="M56" s="19">
        <f t="shared" si="46"/>
        <v>0.1</v>
      </c>
      <c r="N56" s="19">
        <f t="shared" si="46"/>
        <v>0.1</v>
      </c>
      <c r="O56" s="19">
        <f t="shared" si="46"/>
        <v>0.1</v>
      </c>
      <c r="P56" s="19">
        <f t="shared" si="46"/>
        <v>0.1</v>
      </c>
      <c r="Q56" s="19">
        <f t="shared" si="46"/>
        <v>0.1</v>
      </c>
      <c r="R56" s="19">
        <f t="shared" si="46"/>
        <v>0.1</v>
      </c>
      <c r="S56" s="19">
        <f t="shared" si="46"/>
        <v>0.1</v>
      </c>
      <c r="T56" s="19">
        <f t="shared" si="46"/>
        <v>0.1</v>
      </c>
      <c r="U56" s="19">
        <f t="shared" si="46"/>
        <v>0.1</v>
      </c>
      <c r="V56" s="19">
        <f t="shared" si="46"/>
        <v>0.1</v>
      </c>
      <c r="W56" s="19">
        <f t="shared" si="46"/>
        <v>0.1</v>
      </c>
      <c r="X56" s="19">
        <f t="shared" si="46"/>
        <v>0.1</v>
      </c>
    </row>
    <row r="57" spans="2:24" x14ac:dyDescent="0.25">
      <c r="B57" s="23" t="s">
        <v>173</v>
      </c>
      <c r="C57" s="23" t="s">
        <v>172</v>
      </c>
      <c r="D57" s="5"/>
      <c r="E57" s="5"/>
      <c r="F57" s="5"/>
      <c r="G57" s="28">
        <v>0</v>
      </c>
      <c r="H57" s="28">
        <v>0</v>
      </c>
      <c r="I57" s="28">
        <v>0</v>
      </c>
      <c r="J57" s="28">
        <v>2.1000000000000001E-2</v>
      </c>
      <c r="K57" s="28">
        <v>2.1000000000000001E-2</v>
      </c>
      <c r="L57" s="28">
        <v>1.7999999999999999E-2</v>
      </c>
      <c r="M57" s="28">
        <v>1.9E-2</v>
      </c>
      <c r="N57" s="28">
        <v>1.7000000000000001E-2</v>
      </c>
      <c r="O57" s="28">
        <v>1.4999999999999999E-2</v>
      </c>
      <c r="P57" s="28">
        <v>1.7000000000000001E-2</v>
      </c>
      <c r="Q57" s="28">
        <v>1.7000000000000001E-2</v>
      </c>
      <c r="R57" s="28">
        <v>3.5000000000000003E-2</v>
      </c>
      <c r="S57" s="28">
        <v>3.2000000000000001E-2</v>
      </c>
      <c r="T57" s="28">
        <v>2.5999999999999999E-2</v>
      </c>
      <c r="U57" s="28">
        <v>2.5000000000000001E-2</v>
      </c>
      <c r="V57" s="28">
        <v>2.9000000000000001E-2</v>
      </c>
      <c r="W57" s="28">
        <v>2.1999999999999999E-2</v>
      </c>
      <c r="X57" s="28">
        <v>2.3E-2</v>
      </c>
    </row>
    <row r="58" spans="2:24" x14ac:dyDescent="0.25">
      <c r="B58" s="34" t="s">
        <v>94</v>
      </c>
      <c r="C58" s="34" t="s">
        <v>160</v>
      </c>
      <c r="D58" s="44"/>
      <c r="E58" s="44"/>
      <c r="F58" s="44"/>
      <c r="G58" s="51">
        <v>0</v>
      </c>
      <c r="H58" s="51">
        <v>0</v>
      </c>
      <c r="I58" s="51">
        <v>0</v>
      </c>
      <c r="J58" s="29">
        <v>1</v>
      </c>
      <c r="K58" s="51">
        <v>1</v>
      </c>
      <c r="L58" s="51">
        <v>1</v>
      </c>
      <c r="M58" s="51">
        <v>1</v>
      </c>
      <c r="N58" s="29">
        <v>1</v>
      </c>
      <c r="O58" s="51">
        <v>1</v>
      </c>
      <c r="P58" s="51">
        <v>1</v>
      </c>
      <c r="Q58" s="51">
        <v>1</v>
      </c>
      <c r="R58" s="29">
        <v>1.5</v>
      </c>
      <c r="S58" s="51">
        <v>1.5</v>
      </c>
      <c r="T58" s="51">
        <v>1.5</v>
      </c>
      <c r="U58" s="51">
        <v>1.5</v>
      </c>
      <c r="V58" s="29">
        <v>1.6</v>
      </c>
      <c r="W58" s="51">
        <v>1.6</v>
      </c>
      <c r="X58" s="51">
        <v>1.6</v>
      </c>
    </row>
    <row r="59" spans="2:24" x14ac:dyDescent="0.25">
      <c r="D59" s="5"/>
      <c r="E59" s="5"/>
      <c r="F59" s="5"/>
    </row>
    <row r="60" spans="2:24" x14ac:dyDescent="0.25">
      <c r="B60" s="9" t="s">
        <v>64</v>
      </c>
      <c r="C60" s="11"/>
      <c r="D60" s="11"/>
      <c r="E60" s="11"/>
      <c r="F60" s="11"/>
    </row>
    <row r="61" spans="2:24" x14ac:dyDescent="0.25">
      <c r="D61" s="5"/>
      <c r="E61" s="5"/>
      <c r="F61" s="5"/>
    </row>
    <row r="62" spans="2:24" x14ac:dyDescent="0.25">
      <c r="B62" s="1" t="s">
        <v>62</v>
      </c>
      <c r="C62" s="1" t="s">
        <v>138</v>
      </c>
      <c r="D62" s="5"/>
      <c r="E62" s="5"/>
      <c r="F62" s="5"/>
      <c r="G62" s="27">
        <f>+[1]Sheet0!$E$129</f>
        <v>36.5</v>
      </c>
      <c r="H62" s="27">
        <f>+[1]Sheet0!$E$191</f>
        <v>28.95</v>
      </c>
      <c r="I62" s="27">
        <f>+[1]Sheet0!$E$252</f>
        <v>39</v>
      </c>
      <c r="J62" s="27">
        <f>+[1]Sheet0!$E$318</f>
        <v>47</v>
      </c>
      <c r="K62" s="27">
        <f>+[1]Sheet0!$E$381</f>
        <v>48.6</v>
      </c>
      <c r="L62" s="27">
        <f>+[1]Sheet0!$E$443</f>
        <v>57.35</v>
      </c>
      <c r="M62" s="27">
        <f>+[1]Sheet0!$E$505</f>
        <v>54</v>
      </c>
      <c r="N62" s="27">
        <f>+[1]Sheet0!$E$571</f>
        <v>57.5</v>
      </c>
      <c r="O62" s="27">
        <f>+[1]Sheet0!$E$634</f>
        <v>68</v>
      </c>
      <c r="P62" s="27">
        <f>+[1]Sheet0!$E$697</f>
        <v>59.5</v>
      </c>
      <c r="Q62" s="27">
        <f>+[1]Sheet0!$E$758</f>
        <v>57.5</v>
      </c>
      <c r="R62" s="27">
        <f>+[1]Sheet0!$E$823</f>
        <v>42.4</v>
      </c>
      <c r="S62" s="27">
        <f>+[1]Sheet0!$E$885</f>
        <v>47</v>
      </c>
      <c r="T62" s="27">
        <f>+[1]Sheet0!$E$949</f>
        <v>57.45</v>
      </c>
      <c r="U62" s="27">
        <f>+[1]Sheet0!$E$1009</f>
        <v>59</v>
      </c>
      <c r="V62" s="27">
        <f>+[1]Sheet0!$E$1072</f>
        <v>55.4</v>
      </c>
      <c r="W62" s="27">
        <f>+[1]Sheet0!$E$1133</f>
        <v>73</v>
      </c>
      <c r="X62" s="27">
        <f>+[1]Sheet0!$E$1195</f>
        <v>70.8</v>
      </c>
    </row>
    <row r="63" spans="2:24" x14ac:dyDescent="0.25">
      <c r="B63" s="1" t="s">
        <v>63</v>
      </c>
      <c r="C63" s="1" t="s">
        <v>138</v>
      </c>
      <c r="D63" s="5"/>
      <c r="E63" s="5"/>
      <c r="F63" s="5"/>
      <c r="G63" s="27">
        <f>+[1]Sheet0!$FP$129</f>
        <v>39.793709677419351</v>
      </c>
      <c r="H63" s="27">
        <f>+[1]Sheet0!$FP$191</f>
        <v>35.138709677419357</v>
      </c>
      <c r="I63" s="27">
        <f>+[1]Sheet0!$FP$252</f>
        <v>36.033442622950822</v>
      </c>
      <c r="J63" s="27">
        <f>+[1]Sheet0!$FP$318</f>
        <v>44.177727272727282</v>
      </c>
      <c r="K63" s="27">
        <f>+[1]Sheet0!$FP$381</f>
        <v>45.165238095238088</v>
      </c>
      <c r="L63" s="27">
        <f>+[1]Sheet0!$FP$443</f>
        <v>53.408064516129031</v>
      </c>
      <c r="M63" s="27">
        <f>+[1]Sheet0!$FP$505</f>
        <v>56.111290322580636</v>
      </c>
      <c r="N63" s="27">
        <f>+[1]Sheet0!$FP$571</f>
        <v>55.11363636363636</v>
      </c>
      <c r="O63" s="27">
        <f>+[1]Sheet0!$FP$634</f>
        <v>62.723809523809543</v>
      </c>
      <c r="P63" s="27">
        <f>+[1]Sheet0!$FP$697</f>
        <v>61.198412698412717</v>
      </c>
      <c r="Q63" s="27">
        <f>+[1]Sheet0!$FP$758</f>
        <v>58.971311475409813</v>
      </c>
      <c r="R63" s="27">
        <f>+[1]Sheet0!$FP$823</f>
        <v>46.975230769230784</v>
      </c>
      <c r="S63" s="27">
        <f>+[1]Sheet0!$FP$885</f>
        <v>43.845483870967755</v>
      </c>
      <c r="T63" s="27">
        <f>+[1]Sheet0!$FP$949</f>
        <v>52.77031250000001</v>
      </c>
      <c r="U63" s="27">
        <f>+[1]Sheet0!$FP$1009</f>
        <v>55.988333333333323</v>
      </c>
      <c r="V63" s="27">
        <f>+[1]Sheet0!$FP$1072</f>
        <v>56.75</v>
      </c>
      <c r="W63" s="27">
        <f>+[1]Sheet0!$FP$1133</f>
        <v>63.379508196721318</v>
      </c>
      <c r="X63" s="27">
        <f>+[1]Sheet0!$FP$1195</f>
        <v>72.643548387096786</v>
      </c>
    </row>
    <row r="64" spans="2:24" x14ac:dyDescent="0.25">
      <c r="B64" s="34" t="s">
        <v>161</v>
      </c>
      <c r="C64" s="1" t="s">
        <v>138</v>
      </c>
      <c r="D64" s="5"/>
      <c r="E64" s="5"/>
      <c r="F64" s="5"/>
      <c r="G64" s="49" t="s">
        <v>165</v>
      </c>
      <c r="H64" s="49" t="s">
        <v>165</v>
      </c>
      <c r="I64" s="27">
        <f>+[1]Sheet0!$FR$252</f>
        <v>37.903919999999985</v>
      </c>
      <c r="J64" s="27">
        <f>+[1]Sheet0!$FR$318</f>
        <v>38.882788844621508</v>
      </c>
      <c r="K64" s="50">
        <f>+[1]Sheet0!$FR$381</f>
        <v>40.229285714285687</v>
      </c>
      <c r="L64" s="27">
        <f>+[1]Sheet0!$FR$443</f>
        <v>44.724126984126976</v>
      </c>
      <c r="M64" s="27">
        <f>+[1]Sheet0!$FR$505</f>
        <v>49.610039525691711</v>
      </c>
      <c r="N64" s="27">
        <f>+[1]Sheet0!$FR$571</f>
        <v>52.462885375494075</v>
      </c>
      <c r="O64" s="50">
        <f>+[1]Sheet0!$FR$634</f>
        <v>56.835177865612636</v>
      </c>
      <c r="P64" s="27">
        <f>+[1]Sheet0!$FR$697</f>
        <v>58.535433070866098</v>
      </c>
      <c r="Q64" s="27">
        <f>+[1]Sheet0!$FR$758</f>
        <v>59.453952569169928</v>
      </c>
      <c r="R64" s="27">
        <f>+[1]Sheet0!$FR$823</f>
        <v>57.37198412698411</v>
      </c>
      <c r="S64" s="50">
        <f>+[1]Sheet0!$FR$885</f>
        <v>52.68749003984059</v>
      </c>
      <c r="T64" s="27">
        <f>+[1]Sheet0!$FR$949</f>
        <v>50.580793650793616</v>
      </c>
      <c r="U64" s="27">
        <f>+[1]Sheet0!$FR$1009</f>
        <v>49.834302788844646</v>
      </c>
      <c r="V64" s="27">
        <f>+[1]Sheet0!$FR$1072</f>
        <v>52.330401606425724</v>
      </c>
      <c r="W64" s="50">
        <f>+[1]Sheet0!$FR$1133</f>
        <v>57.16935483870968</v>
      </c>
      <c r="X64" s="27">
        <f>+[1]Sheet0!$FR$1195</f>
        <v>62.213821138211365</v>
      </c>
    </row>
    <row r="65" spans="2:24" x14ac:dyDescent="0.25">
      <c r="D65" s="5"/>
      <c r="E65" s="5"/>
      <c r="F65" s="5"/>
    </row>
    <row r="66" spans="2:24" x14ac:dyDescent="0.25">
      <c r="B66" s="9" t="s">
        <v>67</v>
      </c>
      <c r="C66" s="11"/>
      <c r="D66" s="11"/>
      <c r="E66" s="11"/>
      <c r="F66" s="11"/>
    </row>
    <row r="67" spans="2:24" x14ac:dyDescent="0.25">
      <c r="D67" s="5"/>
      <c r="E67" s="5"/>
      <c r="F67" s="5"/>
    </row>
    <row r="68" spans="2:24" x14ac:dyDescent="0.25">
      <c r="B68" s="1" t="s">
        <v>68</v>
      </c>
      <c r="C68" s="1" t="s">
        <v>139</v>
      </c>
      <c r="D68" s="5"/>
      <c r="E68" s="5"/>
      <c r="F68" s="5"/>
      <c r="G68" s="4">
        <f>+((+G10)/2)/((+G17)/2)</f>
        <v>1.6928072093562601</v>
      </c>
      <c r="H68" s="4">
        <f>+((+G10+H10)/2)/((+G17+H17)/2)</f>
        <v>2.1216633158182705</v>
      </c>
      <c r="I68" s="4">
        <f>+((+G10+I10)/2)/((+G17+I17)/2)</f>
        <v>1.8314499767950674</v>
      </c>
      <c r="J68" s="4">
        <f>+((+G10+J10)/2)/((+G17+J17)/2)</f>
        <v>1.8564691535261382</v>
      </c>
      <c r="K68" s="4">
        <f>+((+G10+K10)/2)/((+G17+K17)/2)</f>
        <v>2.0852237061930836</v>
      </c>
      <c r="L68" s="4">
        <f>+((+H10+L10)/2)/((+H17+L17)/2)</f>
        <v>2.3348026511790314</v>
      </c>
      <c r="M68" s="4">
        <f t="shared" ref="M68:X68" si="47">+((+I10+M10)/2)/((+I17+M17)/2)</f>
        <v>1.9051591332427538</v>
      </c>
      <c r="N68" s="4">
        <f t="shared" si="47"/>
        <v>1.8114983004106069</v>
      </c>
      <c r="O68" s="4">
        <f t="shared" si="47"/>
        <v>2.6785127156805282</v>
      </c>
      <c r="P68" s="4">
        <f t="shared" si="47"/>
        <v>2.1692882225927663</v>
      </c>
      <c r="Q68" s="4">
        <f t="shared" si="47"/>
        <v>1.8337413318465345</v>
      </c>
      <c r="R68" s="4">
        <f t="shared" si="47"/>
        <v>2.0016372351640088</v>
      </c>
      <c r="S68" s="4">
        <f t="shared" si="47"/>
        <v>2.4422026805749288</v>
      </c>
      <c r="T68" s="4">
        <f t="shared" si="47"/>
        <v>2.0151663530697652</v>
      </c>
      <c r="U68" s="4">
        <f t="shared" si="47"/>
        <v>1.783431983960251</v>
      </c>
      <c r="V68" s="4">
        <f t="shared" si="47"/>
        <v>1.9942408488364671</v>
      </c>
      <c r="W68" s="4">
        <f t="shared" si="47"/>
        <v>2.0249901238267789</v>
      </c>
      <c r="X68" s="4">
        <f t="shared" si="47"/>
        <v>1.894975532736862</v>
      </c>
    </row>
    <row r="69" spans="2:24" x14ac:dyDescent="0.25">
      <c r="B69" s="1" t="s">
        <v>69</v>
      </c>
      <c r="C69" s="1" t="s">
        <v>139</v>
      </c>
      <c r="D69" s="5"/>
      <c r="E69" s="5"/>
      <c r="F69" s="5"/>
      <c r="G69" s="4">
        <f>+((+G8)/2)/((G17)/2)</f>
        <v>8.4804912257451764E-2</v>
      </c>
      <c r="H69" s="4">
        <f>+((+G8+H8)/2)/((+G17+H17)/2)</f>
        <v>7.8438990277683349E-2</v>
      </c>
      <c r="I69" s="4">
        <f>+((+G8+I8)/2)/((+G17+I17)/2)</f>
        <v>8.5473712126234835E-2</v>
      </c>
      <c r="J69" s="4">
        <f>+((+G8+J8)/2)/((+G17+J17)/2)</f>
        <v>0.13135125539321246</v>
      </c>
      <c r="K69" s="4">
        <f>+((+G8+K8)/2)/((+G17+K17)/2)</f>
        <v>0.24546036896472914</v>
      </c>
      <c r="L69" s="4">
        <f>+((+H8+L8)/2)/((+H17+L17)/2)</f>
        <v>8.179700989547127E-2</v>
      </c>
      <c r="M69" s="4">
        <f t="shared" ref="M69:X69" si="48">+((+I8+M8)/2)/((+I17+M17)/2)</f>
        <v>0.12188481512174973</v>
      </c>
      <c r="N69" s="4">
        <f t="shared" si="48"/>
        <v>0.15060892862597253</v>
      </c>
      <c r="O69" s="4">
        <f t="shared" si="48"/>
        <v>0.51448829928666395</v>
      </c>
      <c r="P69" s="4">
        <f t="shared" si="48"/>
        <v>9.2347413150554405E-2</v>
      </c>
      <c r="Q69" s="4">
        <f t="shared" si="48"/>
        <v>0.19422108582778688</v>
      </c>
      <c r="R69" s="4">
        <f t="shared" si="48"/>
        <v>0.10145576613099148</v>
      </c>
      <c r="S69" s="4">
        <f t="shared" si="48"/>
        <v>0.28622960761719934</v>
      </c>
      <c r="T69" s="4">
        <f t="shared" si="48"/>
        <v>7.2725138734535635E-2</v>
      </c>
      <c r="U69" s="4">
        <f t="shared" si="48"/>
        <v>0.18210338233082146</v>
      </c>
      <c r="V69" s="4">
        <f t="shared" si="48"/>
        <v>0.13793060648400984</v>
      </c>
      <c r="W69" s="4">
        <f t="shared" si="48"/>
        <v>0.27352572572845291</v>
      </c>
      <c r="X69" s="4">
        <f t="shared" si="48"/>
        <v>7.4145645403049965E-2</v>
      </c>
    </row>
    <row r="70" spans="2:24" x14ac:dyDescent="0.25">
      <c r="B70" s="1" t="s">
        <v>97</v>
      </c>
      <c r="C70" s="1" t="s">
        <v>133</v>
      </c>
      <c r="D70" s="5"/>
      <c r="E70" s="5"/>
      <c r="F70" s="5"/>
      <c r="G70" s="3">
        <f>+G10-G17</f>
        <v>125466</v>
      </c>
      <c r="H70" s="3">
        <f>+H10-H17</f>
        <v>220990</v>
      </c>
      <c r="I70" s="3">
        <f t="shared" ref="I70:X70" si="49">+I10-I17</f>
        <v>188053</v>
      </c>
      <c r="J70" s="3">
        <f t="shared" si="49"/>
        <v>207429</v>
      </c>
      <c r="K70" s="3">
        <f t="shared" si="49"/>
        <v>211662</v>
      </c>
      <c r="L70" s="3">
        <f t="shared" si="49"/>
        <v>195686</v>
      </c>
      <c r="M70" s="3">
        <f t="shared" si="49"/>
        <v>160369</v>
      </c>
      <c r="N70" s="3">
        <f t="shared" si="49"/>
        <v>164518</v>
      </c>
      <c r="O70" s="3">
        <f t="shared" si="49"/>
        <v>258006</v>
      </c>
      <c r="P70" s="3">
        <f t="shared" si="49"/>
        <v>260824</v>
      </c>
      <c r="Q70" s="3">
        <f t="shared" si="49"/>
        <v>222445</v>
      </c>
      <c r="R70" s="3">
        <f t="shared" si="49"/>
        <v>309616</v>
      </c>
      <c r="S70" s="3">
        <f t="shared" si="49"/>
        <v>336506</v>
      </c>
      <c r="T70" s="3">
        <f t="shared" si="49"/>
        <v>292732</v>
      </c>
      <c r="U70" s="3">
        <f t="shared" si="49"/>
        <v>251529</v>
      </c>
      <c r="V70" s="3">
        <f t="shared" si="49"/>
        <v>251108</v>
      </c>
      <c r="W70" s="3">
        <f t="shared" si="49"/>
        <v>265442</v>
      </c>
      <c r="X70" s="3">
        <f t="shared" si="49"/>
        <v>266736</v>
      </c>
    </row>
    <row r="71" spans="2:24" x14ac:dyDescent="0.25">
      <c r="B71" s="1" t="s">
        <v>147</v>
      </c>
      <c r="C71" s="1" t="s">
        <v>133</v>
      </c>
      <c r="D71" s="5"/>
      <c r="E71" s="5"/>
      <c r="F71" s="5"/>
      <c r="G71" s="3">
        <f>+((+G10+G10)/2)-((+G17+G17)/2)</f>
        <v>125466</v>
      </c>
      <c r="H71" s="3">
        <f>+((+H10+G10)/2)-((+H17+G17)/2)</f>
        <v>173228</v>
      </c>
      <c r="I71" s="3">
        <f>+((+I10+G10)/2)-((+I17+G17)/2)</f>
        <v>156759.5</v>
      </c>
      <c r="J71" s="3">
        <f>+((+J10+G10)/2)-((+J17+G17)/2)</f>
        <v>166447.5</v>
      </c>
      <c r="K71" s="3">
        <f>+((+K10+G10)/2)-((+K17+G17)/2)</f>
        <v>168564</v>
      </c>
      <c r="L71" s="3">
        <f>+((+L10+H10)/2)-((+L17+H17)/2)</f>
        <v>208338</v>
      </c>
      <c r="M71" s="3">
        <f t="shared" ref="M71:X71" si="50">+((+M10+I10)/2)-((+M17+I17)/2)</f>
        <v>174211</v>
      </c>
      <c r="N71" s="3">
        <f t="shared" si="50"/>
        <v>185973.5</v>
      </c>
      <c r="O71" s="3">
        <f t="shared" si="50"/>
        <v>234834</v>
      </c>
      <c r="P71" s="3">
        <f t="shared" si="50"/>
        <v>228255</v>
      </c>
      <c r="Q71" s="3">
        <f t="shared" si="50"/>
        <v>191407</v>
      </c>
      <c r="R71" s="3">
        <f t="shared" si="50"/>
        <v>237067</v>
      </c>
      <c r="S71" s="3">
        <f t="shared" si="50"/>
        <v>297256</v>
      </c>
      <c r="T71" s="3">
        <f t="shared" si="50"/>
        <v>276778</v>
      </c>
      <c r="U71" s="3">
        <f t="shared" si="50"/>
        <v>236987</v>
      </c>
      <c r="V71" s="3">
        <f t="shared" si="50"/>
        <v>280362</v>
      </c>
      <c r="W71" s="3">
        <f t="shared" si="50"/>
        <v>300974</v>
      </c>
      <c r="X71" s="3">
        <f t="shared" si="50"/>
        <v>279734</v>
      </c>
    </row>
    <row r="72" spans="2:24" x14ac:dyDescent="0.25">
      <c r="D72" s="5"/>
      <c r="E72" s="5"/>
      <c r="F72" s="5"/>
    </row>
    <row r="73" spans="2:24" x14ac:dyDescent="0.25">
      <c r="B73" s="9" t="s">
        <v>70</v>
      </c>
      <c r="C73" s="11"/>
      <c r="D73" s="11"/>
      <c r="E73" s="11"/>
      <c r="F73" s="11"/>
    </row>
    <row r="75" spans="2:24" ht="30" x14ac:dyDescent="0.25">
      <c r="B75" s="13" t="s">
        <v>71</v>
      </c>
      <c r="C75" s="13" t="s">
        <v>140</v>
      </c>
      <c r="D75" s="42"/>
      <c r="E75" s="42"/>
      <c r="F75" s="42"/>
      <c r="G75" s="3">
        <f>+((+G9+G9)/2)/(+G35+F35+E35+D35)*$E$213</f>
        <v>138.59541150906813</v>
      </c>
      <c r="H75" s="3">
        <f>+((+H9+G9)/2)/(+H35+G35+F35+E35)*$D$213</f>
        <v>145.79691438328877</v>
      </c>
      <c r="I75" s="3">
        <f>+((+I9+G9)/2)/(+I35+H35+G35+F35)*$D$213</f>
        <v>142.79050068983278</v>
      </c>
      <c r="J75" s="3">
        <f>+((+J9+G9)/2)/(+J35+I35+H35+G35)*$D$213</f>
        <v>138.62602574543305</v>
      </c>
      <c r="K75" s="3">
        <f>+((+K9+G9)/2)/(+K35+J35+I35+H35)*$D$213</f>
        <v>113.07779203996496</v>
      </c>
      <c r="L75" s="3">
        <f>+((+L9+H9)/2)/(+L35+K35+J35+I35)*$D$213</f>
        <v>134.90750891303068</v>
      </c>
      <c r="M75" s="3">
        <f t="shared" ref="M75:S75" si="51">+((+M9+I9)/2)/(+M35+L35+K35+J35)*$D$213</f>
        <v>133.21176099037234</v>
      </c>
      <c r="N75" s="3">
        <f t="shared" si="51"/>
        <v>141.94552177351298</v>
      </c>
      <c r="O75" s="3">
        <f t="shared" si="51"/>
        <v>107.43904822183268</v>
      </c>
      <c r="P75" s="3">
        <f t="shared" si="51"/>
        <v>145.39969747763752</v>
      </c>
      <c r="Q75" s="3">
        <f t="shared" si="51"/>
        <v>128.09075224324789</v>
      </c>
      <c r="R75" s="3">
        <f t="shared" si="51"/>
        <v>156.75067297032246</v>
      </c>
      <c r="S75" s="3">
        <f t="shared" si="51"/>
        <v>148.63198962667008</v>
      </c>
      <c r="T75" s="3">
        <f>+((+T9+P9)/2)/(+T35+S35+R35+Q35)*$E$213</f>
        <v>166.67329182932912</v>
      </c>
      <c r="U75" s="3">
        <f>+((+U9+Q9)/2)/(+U35+T35+S35+R35)*$E$213</f>
        <v>148.98099694206562</v>
      </c>
      <c r="V75" s="3">
        <f>+((+V9+R9)/2)/(+V35+U35+T35+S35)*$E$213</f>
        <v>153.75279763605371</v>
      </c>
      <c r="W75" s="3">
        <f>+((+W9+S9)/2)/(+W35+V35+U35+T35)*$E$213</f>
        <v>142.87467294947768</v>
      </c>
      <c r="X75" s="3">
        <f>+((+X9+T9)/2)/(+X35+W35+V35+U35)*$D$213</f>
        <v>162.02532418150264</v>
      </c>
    </row>
    <row r="76" spans="2:24" x14ac:dyDescent="0.25">
      <c r="B76" s="1" t="s">
        <v>72</v>
      </c>
      <c r="C76" s="1" t="s">
        <v>140</v>
      </c>
      <c r="D76" s="5"/>
      <c r="E76" s="5"/>
      <c r="F76" s="5"/>
      <c r="G76" s="3">
        <f>+((+G17+G17)/2)/(+G36+F36+E36+D36)*$E$213</f>
        <v>104.20645124775376</v>
      </c>
      <c r="H76" s="3">
        <f>+((+H17+G17)/2)/(+H36+G36+F36+E36)*$D$213</f>
        <v>85.333821075639875</v>
      </c>
      <c r="I76" s="3">
        <f>+((+I17+G17)/2)/(+I36+H36+G36+F36)*$D$213</f>
        <v>96.099766393639754</v>
      </c>
      <c r="J76" s="3">
        <f>+((+J17+G17)/2)/(+J36+I36+H36+G36)*$D$213</f>
        <v>92.381456269554917</v>
      </c>
      <c r="K76" s="3">
        <f>+((+K17+G17)/2)/(+K36+J36+I36+H36)*$D$213</f>
        <v>69.627561716379134</v>
      </c>
      <c r="L76" s="3">
        <f>+((+L17+H17)/2)/(+L36+K36+J36+I36)*$D$213</f>
        <v>67.693960036978154</v>
      </c>
      <c r="M76" s="3">
        <f t="shared" ref="M76:S76" si="52">+((+M17+I17)/2)/(+M36+L36+K36+J36)*$D$213</f>
        <v>84.519065339377846</v>
      </c>
      <c r="N76" s="3">
        <f t="shared" si="52"/>
        <v>97.96493679276881</v>
      </c>
      <c r="O76" s="3">
        <f t="shared" si="52"/>
        <v>56.774982211153606</v>
      </c>
      <c r="P76" s="3">
        <f t="shared" si="52"/>
        <v>79.19112106217824</v>
      </c>
      <c r="Q76" s="3">
        <f t="shared" si="52"/>
        <v>89.553819238492807</v>
      </c>
      <c r="R76" s="3">
        <f t="shared" si="52"/>
        <v>94.030435147008248</v>
      </c>
      <c r="S76" s="3">
        <f t="shared" si="52"/>
        <v>80.702013391861044</v>
      </c>
      <c r="T76" s="3">
        <f>+((+T17+P17)/2)/(+T36+S36+R36+Q36)*$E$213</f>
        <v>100.0759570601615</v>
      </c>
      <c r="U76" s="3">
        <f>+((+U17+Q17)/2)/(+U36+T36+S36+R36)*$E$213</f>
        <v>107.74342602729729</v>
      </c>
      <c r="V76" s="3">
        <f>+((+V17+R17)/2)/(+V36+U36+T36+S36)*$E$213</f>
        <v>95.36509925348517</v>
      </c>
      <c r="W76" s="3">
        <f>+((+W17+S17)/2)/(+W36+V36+U36+T36)*$E$213</f>
        <v>91.377156981030041</v>
      </c>
      <c r="X76" s="3">
        <f>+((+X17+T17)/2)/(+X36+W36+V36+U36)*$D$213</f>
        <v>96.72201380234165</v>
      </c>
    </row>
    <row r="77" spans="2:24" x14ac:dyDescent="0.25">
      <c r="B77" s="1" t="s">
        <v>73</v>
      </c>
      <c r="C77" s="1" t="s">
        <v>140</v>
      </c>
      <c r="D77" s="5"/>
      <c r="E77" s="5"/>
      <c r="F77" s="5"/>
      <c r="G77" s="3">
        <f>+G71/(+G36+F36+E36+D36)*$E$213</f>
        <v>72.19498068587545</v>
      </c>
      <c r="H77" s="3">
        <f>+H71/(+H36+G36+F36+E36)*$D$213</f>
        <v>95.71581669914525</v>
      </c>
      <c r="I77" s="3">
        <f>+I71/(+I36+H36+G36+F36)*$D$213</f>
        <v>79.902148538003161</v>
      </c>
      <c r="J77" s="3">
        <f>+J71/(+J36+I36+H36+G36)*$D$213</f>
        <v>79.121867652697659</v>
      </c>
      <c r="K77" s="3">
        <f>+K71/(+K36+J36+I36+H36)*$D$213</f>
        <v>75.561480579036626</v>
      </c>
      <c r="L77" s="3">
        <f t="shared" ref="L77:S77" si="53">+L71/(+L36+K36+J36+I36)*$D$213</f>
        <v>90.358077326165841</v>
      </c>
      <c r="M77" s="3">
        <f t="shared" si="53"/>
        <v>76.503203925078935</v>
      </c>
      <c r="N77" s="3">
        <f t="shared" si="53"/>
        <v>79.498379707164418</v>
      </c>
      <c r="O77" s="3">
        <f t="shared" si="53"/>
        <v>95.297529573957135</v>
      </c>
      <c r="P77" s="3">
        <f t="shared" si="53"/>
        <v>92.597245191922966</v>
      </c>
      <c r="Q77" s="3">
        <f t="shared" si="53"/>
        <v>74.664720523844792</v>
      </c>
      <c r="R77" s="3">
        <f t="shared" si="53"/>
        <v>94.184385081917966</v>
      </c>
      <c r="S77" s="3">
        <f t="shared" si="53"/>
        <v>116.3886600415358</v>
      </c>
      <c r="T77" s="3">
        <f>+T71/(+T36+S36+R36+Q36)*$E$213</f>
        <v>101.59374435873059</v>
      </c>
      <c r="U77" s="3">
        <f>+U71/(+U36+T36+S36+R36)*$E$213</f>
        <v>84.409646011240056</v>
      </c>
      <c r="V77" s="3">
        <f>+V71/(+V36+U36+T36+S36)*$E$213</f>
        <v>94.815877231159021</v>
      </c>
      <c r="W77" s="3">
        <f>+W71/(+W36+V36+U36+T36)*$E$213</f>
        <v>93.660683448924985</v>
      </c>
      <c r="X77" s="3">
        <f>+X71/(+X36+W36+V36+U36)*$D$213</f>
        <v>86.563835830132859</v>
      </c>
    </row>
    <row r="79" spans="2:24" x14ac:dyDescent="0.25">
      <c r="B79" s="9" t="s">
        <v>159</v>
      </c>
    </row>
    <row r="81" spans="2:24" x14ac:dyDescent="0.25">
      <c r="B81" s="1" t="s">
        <v>149</v>
      </c>
      <c r="C81" s="1" t="s">
        <v>152</v>
      </c>
      <c r="G81" s="21">
        <f>(+G37+F37+E37+D37)/(+G35+F35+E35+D35)</f>
        <v>0.17288179232806802</v>
      </c>
      <c r="H81" s="21">
        <f>(+H37+G37+F37+E37)/(+H35+G35+F35+E35)</f>
        <v>0.16379821663546321</v>
      </c>
      <c r="I81" s="21">
        <f>(+I37+H37+G37+F37)/(+I35+H35+G35+F35)</f>
        <v>0.14898219007757377</v>
      </c>
      <c r="J81" s="21">
        <f>(+J37+I37+H37+G37)/(+J35+I35+H35+G35)</f>
        <v>0.13015636955254081</v>
      </c>
      <c r="K81" s="21">
        <f>(+K37+J37+I37+H37)/(+K35+J35+I35+H35)</f>
        <v>0.11725722240049956</v>
      </c>
      <c r="L81" s="21">
        <f t="shared" ref="L81:X81" si="54">(+L37+K37+J37+I37)/(+L35+K35+J35+I35)</f>
        <v>0.11544687076946362</v>
      </c>
      <c r="M81" s="21">
        <f t="shared" si="54"/>
        <v>0.11616798558932555</v>
      </c>
      <c r="N81" s="21">
        <f t="shared" si="54"/>
        <v>0.12761070663023955</v>
      </c>
      <c r="O81" s="21">
        <f t="shared" si="54"/>
        <v>0.12553387797880336</v>
      </c>
      <c r="P81" s="21">
        <f t="shared" si="54"/>
        <v>0.11597836852116772</v>
      </c>
      <c r="Q81" s="21">
        <f t="shared" si="54"/>
        <v>0.12759754305618748</v>
      </c>
      <c r="R81" s="21">
        <f t="shared" si="54"/>
        <v>0.12270452425128173</v>
      </c>
      <c r="S81" s="21">
        <f t="shared" si="54"/>
        <v>0.14575078349797482</v>
      </c>
      <c r="T81" s="21">
        <f t="shared" si="54"/>
        <v>0.14259033140144806</v>
      </c>
      <c r="U81" s="21">
        <f t="shared" si="54"/>
        <v>0.13650538352748989</v>
      </c>
      <c r="V81" s="21">
        <f t="shared" si="54"/>
        <v>0.1314736463646782</v>
      </c>
      <c r="W81" s="21">
        <f t="shared" si="54"/>
        <v>0.10727788459129975</v>
      </c>
      <c r="X81" s="21">
        <f t="shared" si="54"/>
        <v>7.9999220014429731E-2</v>
      </c>
    </row>
    <row r="82" spans="2:24" x14ac:dyDescent="0.25">
      <c r="B82" s="1" t="s">
        <v>150</v>
      </c>
      <c r="C82" s="1" t="s">
        <v>152</v>
      </c>
      <c r="G82" s="21">
        <f>+(+G41+F41+E41+D41)/(+G35+F35+E35+D35)</f>
        <v>0.13458325043464905</v>
      </c>
      <c r="H82" s="21">
        <f>+(+H41+G41+F41+E41)/(+H35+G35+F35+E35)</f>
        <v>0.12905630906970636</v>
      </c>
      <c r="I82" s="21">
        <f>+(+I41+H41+G41+F41)/(+I35+H35+G35+F35)</f>
        <v>0.11461816483854753</v>
      </c>
      <c r="J82" s="21">
        <f>+(+J41+I41+H41+G41)/(+J35+I35+H35+G35)</f>
        <v>9.0041261399558412E-2</v>
      </c>
      <c r="K82" s="21">
        <f>+(+K41+J41+I41+H41)/(+K35+J35+I35+H35)</f>
        <v>9.0635597262816447E-2</v>
      </c>
      <c r="L82" s="21">
        <f t="shared" ref="L82:X82" si="55">+(+L41+K41+J41+I41)/(+L35+K35+J35+I35)</f>
        <v>8.8386152850067692E-2</v>
      </c>
      <c r="M82" s="21">
        <f t="shared" si="55"/>
        <v>0.1072952976029706</v>
      </c>
      <c r="N82" s="21">
        <f t="shared" si="55"/>
        <v>0.11632088830946975</v>
      </c>
      <c r="O82" s="21">
        <f t="shared" si="55"/>
        <v>0.11458360677413741</v>
      </c>
      <c r="P82" s="21">
        <f t="shared" si="55"/>
        <v>0.10467136187137445</v>
      </c>
      <c r="Q82" s="21">
        <f t="shared" si="55"/>
        <v>9.9531770953762616E-2</v>
      </c>
      <c r="R82" s="21">
        <f t="shared" si="55"/>
        <v>9.5334995507165135E-2</v>
      </c>
      <c r="S82" s="21">
        <f t="shared" si="55"/>
        <v>0.11250847644007844</v>
      </c>
      <c r="T82" s="21">
        <f t="shared" si="55"/>
        <v>0.11323714035117891</v>
      </c>
      <c r="U82" s="21">
        <f t="shared" si="55"/>
        <v>0.10633947861336668</v>
      </c>
      <c r="V82" s="21">
        <f t="shared" si="55"/>
        <v>0.12187452851084866</v>
      </c>
      <c r="W82" s="21">
        <f t="shared" si="55"/>
        <v>8.0696371873996642E-2</v>
      </c>
      <c r="X82" s="21">
        <f t="shared" si="55"/>
        <v>4.9897236901117331E-2</v>
      </c>
    </row>
    <row r="83" spans="2:24" x14ac:dyDescent="0.25">
      <c r="B83" s="1" t="s">
        <v>151</v>
      </c>
      <c r="C83" s="1" t="s">
        <v>152</v>
      </c>
      <c r="G83" s="21">
        <f>+(+G41+F41+E41+D41)/((+G14+G14)/2)</f>
        <v>0.21034489766884115</v>
      </c>
      <c r="H83" s="21">
        <f>+(+H41+G41+F41+E41)/((+H14+G14)/2)</f>
        <v>0.19772876519993793</v>
      </c>
      <c r="I83" s="21">
        <f>+(+I41+H41+G41+F41)/((+I14+G14)/2)</f>
        <v>0.17988491397547918</v>
      </c>
      <c r="J83" s="21">
        <f>+(+J41+I41+H41+G41)/((+J14+G14)/2)</f>
        <v>0.14322504391958651</v>
      </c>
      <c r="K83" s="21">
        <f>+(+K41+J41+I41+H41)/((+K14+G14)/2)</f>
        <v>0.16028873944907515</v>
      </c>
      <c r="L83" s="21">
        <f>+(+L41+K41+J41+I41)/((+L14+H14)/2)</f>
        <v>0.14678879865241695</v>
      </c>
      <c r="M83" s="21">
        <f t="shared" ref="M83:X83" si="56">+(+M41+L41+K41+J41)/((+M14+I14)/2)</f>
        <v>0.17121593141996111</v>
      </c>
      <c r="N83" s="21">
        <f t="shared" si="56"/>
        <v>0.17721140690447396</v>
      </c>
      <c r="O83" s="21">
        <f t="shared" si="56"/>
        <v>0.19173756473965448</v>
      </c>
      <c r="P83" s="21">
        <f t="shared" si="56"/>
        <v>0.15673881107023394</v>
      </c>
      <c r="Q83" s="21">
        <f t="shared" si="56"/>
        <v>0.1509040559891324</v>
      </c>
      <c r="R83" s="21">
        <f t="shared" si="56"/>
        <v>0.12952042661034574</v>
      </c>
      <c r="S83" s="21">
        <f t="shared" si="56"/>
        <v>0.14937752268323767</v>
      </c>
      <c r="T83" s="21">
        <f t="shared" si="56"/>
        <v>0.14995123578706807</v>
      </c>
      <c r="U83" s="21">
        <f t="shared" si="56"/>
        <v>0.14201450378081379</v>
      </c>
      <c r="V83" s="21">
        <f t="shared" si="56"/>
        <v>0.16421809814027022</v>
      </c>
      <c r="W83" s="21">
        <f t="shared" si="56"/>
        <v>0.10939190534473206</v>
      </c>
      <c r="X83" s="21">
        <f t="shared" si="56"/>
        <v>6.5907471769725653E-2</v>
      </c>
    </row>
    <row r="84" spans="2:24" x14ac:dyDescent="0.25">
      <c r="B84" s="1" t="s">
        <v>158</v>
      </c>
      <c r="C84" s="1" t="s">
        <v>152</v>
      </c>
      <c r="G84" s="21">
        <f>(+G41+F41+E41+D41)/((+G22+G22)/2)</f>
        <v>0.34942435598771032</v>
      </c>
      <c r="H84" s="21">
        <f>(+H41+G41+F41+E41)/((+H22+G22)/2)</f>
        <v>0.34256828058340011</v>
      </c>
      <c r="I84" s="21">
        <f>(+I41+H41+G41+F41)/((+I22+G22)/2)</f>
        <v>0.32792852352634116</v>
      </c>
      <c r="J84" s="21">
        <f>(+J41+I41+H41+G41)/((+J22+G22)/2)</f>
        <v>0.26526724468639323</v>
      </c>
      <c r="K84" s="21">
        <f>(+K41+J41+I41+H41)/((+K22+G22)/2)</f>
        <v>0.26273768500579037</v>
      </c>
      <c r="L84" s="21">
        <f>(+L41+K41+J41+I41)/((+L22+H22)/2)</f>
        <v>0.26100451292110766</v>
      </c>
      <c r="M84" s="21">
        <f t="shared" ref="M84:X84" si="57">(+M41+L41+K41+J41)/((+M22+I22)/2)</f>
        <v>0.31028486291923374</v>
      </c>
      <c r="N84" s="21">
        <f t="shared" si="57"/>
        <v>0.33332259830601269</v>
      </c>
      <c r="O84" s="21">
        <f t="shared" si="57"/>
        <v>0.30890483935014029</v>
      </c>
      <c r="P84" s="21">
        <f t="shared" si="57"/>
        <v>0.27899497698000741</v>
      </c>
      <c r="Q84" s="21">
        <f t="shared" si="57"/>
        <v>0.27769814864432485</v>
      </c>
      <c r="R84" s="21">
        <f t="shared" si="57"/>
        <v>0.24636359710543687</v>
      </c>
      <c r="S84" s="21">
        <f t="shared" si="57"/>
        <v>0.26750536259182317</v>
      </c>
      <c r="T84" s="21">
        <f t="shared" si="57"/>
        <v>0.28723550440925955</v>
      </c>
      <c r="U84" s="21">
        <f t="shared" si="57"/>
        <v>0.28787573748451667</v>
      </c>
      <c r="V84" s="21">
        <f t="shared" si="57"/>
        <v>0.33155035848710579</v>
      </c>
      <c r="W84" s="21">
        <f t="shared" si="57"/>
        <v>0.20768590617662111</v>
      </c>
      <c r="X84" s="21">
        <f t="shared" si="57"/>
        <v>0.12965308699273828</v>
      </c>
    </row>
    <row r="86" spans="2:24" x14ac:dyDescent="0.25">
      <c r="B86" s="9" t="s">
        <v>74</v>
      </c>
      <c r="C86" s="11"/>
      <c r="D86" s="11"/>
      <c r="E86" s="11"/>
      <c r="F86" s="11"/>
    </row>
    <row r="88" spans="2:24" x14ac:dyDescent="0.25">
      <c r="B88" s="1" t="s">
        <v>78</v>
      </c>
      <c r="C88" s="1" t="s">
        <v>152</v>
      </c>
      <c r="D88" s="5"/>
      <c r="E88" s="5"/>
      <c r="F88" s="5"/>
      <c r="G88" s="21">
        <f>+G18/G14</f>
        <v>0.39802451070056705</v>
      </c>
      <c r="H88" s="21">
        <f>+H18/H14</f>
        <v>0.44541728486646887</v>
      </c>
      <c r="I88" s="21">
        <f t="shared" ref="I88:X88" si="58">+I18/I14</f>
        <v>0.49675240187841974</v>
      </c>
      <c r="J88" s="21">
        <f t="shared" si="58"/>
        <v>0.5094833404275636</v>
      </c>
      <c r="K88" s="21">
        <f t="shared" si="58"/>
        <v>0.38270083919256065</v>
      </c>
      <c r="L88" s="21">
        <f t="shared" si="58"/>
        <v>0.43065179579757812</v>
      </c>
      <c r="M88" s="21">
        <f t="shared" si="58"/>
        <v>0.40111167374414458</v>
      </c>
      <c r="N88" s="21">
        <f t="shared" si="58"/>
        <v>0.43024558005376046</v>
      </c>
      <c r="O88" s="21">
        <f t="shared" si="58"/>
        <v>0.37653452704276769</v>
      </c>
      <c r="P88" s="21">
        <f t="shared" si="58"/>
        <v>0.4442854827697057</v>
      </c>
      <c r="Q88" s="21">
        <f t="shared" si="58"/>
        <v>0.49724851770244799</v>
      </c>
      <c r="R88" s="21">
        <f t="shared" si="58"/>
        <v>0.50784808737171394</v>
      </c>
      <c r="S88" s="21">
        <f t="shared" si="58"/>
        <v>0.48728424327344394</v>
      </c>
      <c r="T88" s="21">
        <f t="shared" si="58"/>
        <v>0.503201944183442</v>
      </c>
      <c r="U88" s="21">
        <f t="shared" si="58"/>
        <v>0.51465640523275136</v>
      </c>
      <c r="V88" s="21">
        <f t="shared" si="58"/>
        <v>0.50186889429566683</v>
      </c>
      <c r="W88" s="21">
        <f t="shared" si="58"/>
        <v>0.45945871340150535</v>
      </c>
      <c r="X88" s="21">
        <f t="shared" si="58"/>
        <v>0.47931228656930353</v>
      </c>
    </row>
    <row r="89" spans="2:24" x14ac:dyDescent="0.25">
      <c r="B89" s="1" t="s">
        <v>79</v>
      </c>
      <c r="C89" s="1" t="s">
        <v>152</v>
      </c>
      <c r="D89" s="5"/>
      <c r="E89" s="5"/>
      <c r="F89" s="5"/>
      <c r="G89" s="21">
        <f>+G18/G22</f>
        <v>0.66119720449711339</v>
      </c>
      <c r="H89" s="21">
        <f>+H18/H22</f>
        <v>0.8031575321622173</v>
      </c>
      <c r="I89" s="21">
        <f t="shared" ref="I89:X89" si="59">+I18/I22</f>
        <v>0.98709343816561768</v>
      </c>
      <c r="J89" s="21">
        <f t="shared" si="59"/>
        <v>1.0386667414551418</v>
      </c>
      <c r="K89" s="21">
        <f t="shared" si="59"/>
        <v>0.61996008336052255</v>
      </c>
      <c r="L89" s="21">
        <f t="shared" si="59"/>
        <v>0.75639440437133154</v>
      </c>
      <c r="M89" s="21">
        <f t="shared" si="59"/>
        <v>0.66976038129149096</v>
      </c>
      <c r="N89" s="21">
        <f t="shared" si="59"/>
        <v>0.75514215421857933</v>
      </c>
      <c r="O89" s="21">
        <f t="shared" si="59"/>
        <v>0.60393805812017554</v>
      </c>
      <c r="P89" s="21">
        <f t="shared" si="59"/>
        <v>0.79948511149941559</v>
      </c>
      <c r="Q89" s="21">
        <f t="shared" si="59"/>
        <v>0.98905430458413424</v>
      </c>
      <c r="R89" s="21">
        <f t="shared" si="59"/>
        <v>1.0318929467521605</v>
      </c>
      <c r="S89" s="21">
        <f t="shared" si="59"/>
        <v>0.95039841643354173</v>
      </c>
      <c r="T89" s="21">
        <f t="shared" si="59"/>
        <v>1.0128903249356687</v>
      </c>
      <c r="U89" s="21">
        <f t="shared" si="59"/>
        <v>1.060395997354328</v>
      </c>
      <c r="V89" s="21">
        <f t="shared" si="59"/>
        <v>1.0075036241433843</v>
      </c>
      <c r="W89" s="21">
        <f t="shared" si="59"/>
        <v>0.84999744662017629</v>
      </c>
      <c r="X89" s="21">
        <f t="shared" si="59"/>
        <v>0.92053696333877477</v>
      </c>
    </row>
    <row r="90" spans="2:24" hidden="1" x14ac:dyDescent="0.25">
      <c r="B90" s="6" t="s">
        <v>155</v>
      </c>
      <c r="C90" s="6"/>
      <c r="D90" s="43"/>
      <c r="E90" s="43"/>
      <c r="F90" s="43"/>
      <c r="G90" s="7">
        <f t="shared" ref="G90:K91" si="60">+G37+F37+E37+D37</f>
        <v>132947.99999999991</v>
      </c>
      <c r="H90" s="7">
        <f t="shared" si="60"/>
        <v>129397.33323798669</v>
      </c>
      <c r="I90" s="7">
        <f t="shared" si="60"/>
        <v>125361.44278417589</v>
      </c>
      <c r="J90" s="7">
        <f t="shared" si="60"/>
        <v>114894.13228873405</v>
      </c>
      <c r="K90" s="7">
        <f t="shared" si="60"/>
        <v>108159</v>
      </c>
      <c r="L90" s="7">
        <f t="shared" ref="L90:X91" si="61">+L37+K37+J37+I37</f>
        <v>109838</v>
      </c>
      <c r="M90" s="7">
        <f t="shared" si="61"/>
        <v>109246</v>
      </c>
      <c r="N90" s="7">
        <f t="shared" si="61"/>
        <v>124900</v>
      </c>
      <c r="O90" s="7">
        <f t="shared" si="61"/>
        <v>129119</v>
      </c>
      <c r="P90" s="7">
        <f t="shared" si="61"/>
        <v>118040</v>
      </c>
      <c r="Q90" s="7">
        <f t="shared" si="61"/>
        <v>136855</v>
      </c>
      <c r="R90" s="7">
        <f t="shared" si="61"/>
        <v>128499</v>
      </c>
      <c r="S90" s="7">
        <f t="shared" si="61"/>
        <v>159052</v>
      </c>
      <c r="T90" s="7">
        <f t="shared" si="61"/>
        <v>165824</v>
      </c>
      <c r="U90" s="7">
        <f t="shared" si="61"/>
        <v>162444</v>
      </c>
      <c r="V90" s="7">
        <f t="shared" si="61"/>
        <v>163823</v>
      </c>
      <c r="W90" s="7">
        <f t="shared" si="61"/>
        <v>141334</v>
      </c>
      <c r="X90" s="7">
        <f t="shared" si="61"/>
        <v>102565</v>
      </c>
    </row>
    <row r="91" spans="2:24" hidden="1" x14ac:dyDescent="0.25">
      <c r="B91" s="6" t="s">
        <v>156</v>
      </c>
      <c r="C91" s="6"/>
      <c r="D91" s="43"/>
      <c r="E91" s="43"/>
      <c r="F91" s="43"/>
      <c r="G91" s="7">
        <f t="shared" si="60"/>
        <v>-9713.9999999999982</v>
      </c>
      <c r="H91" s="7">
        <f t="shared" si="60"/>
        <v>-10634.86778512724</v>
      </c>
      <c r="I91" s="7">
        <f t="shared" si="60"/>
        <v>-8525.3833684031742</v>
      </c>
      <c r="J91" s="7">
        <f t="shared" si="60"/>
        <v>-8154.3330282414436</v>
      </c>
      <c r="K91" s="7">
        <f t="shared" si="60"/>
        <v>-8482</v>
      </c>
      <c r="L91" s="7">
        <f t="shared" si="61"/>
        <v>-7664</v>
      </c>
      <c r="M91" s="7">
        <f t="shared" si="61"/>
        <v>-8698</v>
      </c>
      <c r="N91" s="7">
        <f t="shared" si="61"/>
        <v>-8166</v>
      </c>
      <c r="O91" s="7">
        <f t="shared" si="61"/>
        <v>-6510</v>
      </c>
      <c r="P91" s="7">
        <f t="shared" si="61"/>
        <v>-6304</v>
      </c>
      <c r="Q91" s="7">
        <f t="shared" si="61"/>
        <v>-5869</v>
      </c>
      <c r="R91" s="7">
        <f t="shared" si="61"/>
        <v>-5826</v>
      </c>
      <c r="S91" s="7">
        <f t="shared" si="61"/>
        <v>-7678</v>
      </c>
      <c r="T91" s="7">
        <f t="shared" si="61"/>
        <v>-6181</v>
      </c>
      <c r="U91" s="7">
        <f t="shared" si="61"/>
        <v>-11123</v>
      </c>
      <c r="V91" s="7">
        <f t="shared" si="61"/>
        <v>-13339</v>
      </c>
      <c r="W91" s="7">
        <f t="shared" si="61"/>
        <v>-15011</v>
      </c>
      <c r="X91" s="7">
        <f t="shared" si="61"/>
        <v>-18213</v>
      </c>
    </row>
    <row r="92" spans="2:24" ht="60" x14ac:dyDescent="0.25">
      <c r="B92" s="13" t="s">
        <v>157</v>
      </c>
      <c r="C92" s="1" t="s">
        <v>139</v>
      </c>
      <c r="D92" s="5"/>
      <c r="E92" s="5"/>
      <c r="F92" s="5"/>
      <c r="G92" s="4">
        <f>+G90/-G91</f>
        <v>13.686226065472507</v>
      </c>
      <c r="H92" s="4">
        <f t="shared" ref="H92:X92" si="62">+H90/-H91</f>
        <v>12.167272396084472</v>
      </c>
      <c r="I92" s="4">
        <f t="shared" si="62"/>
        <v>14.704493319185058</v>
      </c>
      <c r="J92" s="4">
        <f t="shared" si="62"/>
        <v>14.089948483930392</v>
      </c>
      <c r="K92" s="4">
        <f t="shared" si="62"/>
        <v>12.75159160575336</v>
      </c>
      <c r="L92" s="4">
        <f t="shared" si="62"/>
        <v>14.331680584551147</v>
      </c>
      <c r="M92" s="4">
        <f t="shared" si="62"/>
        <v>12.559898827316625</v>
      </c>
      <c r="N92" s="4">
        <f t="shared" si="62"/>
        <v>15.29512613274553</v>
      </c>
      <c r="O92" s="4">
        <f t="shared" si="62"/>
        <v>19.833947772657449</v>
      </c>
      <c r="P92" s="4">
        <f t="shared" si="62"/>
        <v>18.724619289340101</v>
      </c>
      <c r="Q92" s="4">
        <f t="shared" si="62"/>
        <v>23.318282501277899</v>
      </c>
      <c r="R92" s="4">
        <f t="shared" si="62"/>
        <v>22.056127703398559</v>
      </c>
      <c r="S92" s="4">
        <f t="shared" si="62"/>
        <v>20.715290440218808</v>
      </c>
      <c r="T92" s="4">
        <f t="shared" si="62"/>
        <v>26.828021355767675</v>
      </c>
      <c r="U92" s="4">
        <f t="shared" si="62"/>
        <v>14.604333363301267</v>
      </c>
      <c r="V92" s="4">
        <f t="shared" si="62"/>
        <v>12.281505360221905</v>
      </c>
      <c r="W92" s="4">
        <f t="shared" si="62"/>
        <v>9.4153620678169343</v>
      </c>
      <c r="X92" s="4">
        <f t="shared" si="62"/>
        <v>5.6314171196398179</v>
      </c>
    </row>
    <row r="94" spans="2:24" x14ac:dyDescent="0.25">
      <c r="B94" s="9" t="s">
        <v>75</v>
      </c>
      <c r="C94" s="11"/>
      <c r="D94" s="11"/>
      <c r="E94" s="11"/>
      <c r="F94" s="11"/>
    </row>
    <row r="96" spans="2:24" x14ac:dyDescent="0.25">
      <c r="B96" s="1" t="s">
        <v>77</v>
      </c>
      <c r="C96" s="1" t="s">
        <v>139</v>
      </c>
      <c r="D96" s="5"/>
      <c r="E96" s="5"/>
      <c r="F96" s="5"/>
      <c r="G96" s="4">
        <f>(+G35+F35+E35+D35)/(+G36+F36+E36+D36)</f>
        <v>1.2090170313318021</v>
      </c>
      <c r="H96" s="4">
        <f>(+H35+G35+F35+E35)/(+H36+G36+F36+E36)</f>
        <v>1.1958836011762681</v>
      </c>
      <c r="I96" s="4">
        <f>(+I35+H35+G35+F35)/(+I36+H36+G36+F36)</f>
        <v>1.1750635396116491</v>
      </c>
      <c r="J96" s="4">
        <f>(+J35+I35+H35+G35)/(+J36+I36+H36+G36)</f>
        <v>1.149631916584348</v>
      </c>
      <c r="K96" s="4">
        <f>(+K35+J35+I35+H35)/(+K36+J36+I36+H36)</f>
        <v>1.1328328312346714</v>
      </c>
      <c r="L96" s="4">
        <f t="shared" ref="L96:X96" si="63">(+L35+K35+J35+I35)/(+L36+K36+J36+I36)</f>
        <v>1.1305143432931946</v>
      </c>
      <c r="M96" s="4">
        <f t="shared" si="63"/>
        <v>1.1314367251867252</v>
      </c>
      <c r="N96" s="4">
        <f t="shared" si="63"/>
        <v>1.1462772498471643</v>
      </c>
      <c r="O96" s="4">
        <f t="shared" si="63"/>
        <v>1.1435548785911234</v>
      </c>
      <c r="P96" s="4">
        <f t="shared" si="63"/>
        <v>1.1311940391403701</v>
      </c>
      <c r="Q96" s="4">
        <f t="shared" si="63"/>
        <v>1.1462599538098337</v>
      </c>
      <c r="R96" s="4">
        <f t="shared" si="63"/>
        <v>1.139866815278582</v>
      </c>
      <c r="S96" s="4">
        <f t="shared" si="63"/>
        <v>1.1706185743954138</v>
      </c>
      <c r="T96" s="4">
        <f t="shared" si="63"/>
        <v>1.1663036196390391</v>
      </c>
      <c r="U96" s="4">
        <f t="shared" si="63"/>
        <v>1.1580848113276403</v>
      </c>
      <c r="V96" s="4">
        <f t="shared" si="63"/>
        <v>1.1513755406665318</v>
      </c>
      <c r="W96" s="4">
        <f t="shared" si="63"/>
        <v>1.1201694040504266</v>
      </c>
      <c r="X96" s="4">
        <f t="shared" si="63"/>
        <v>1.0869556002068657</v>
      </c>
    </row>
    <row r="97" spans="2:24" x14ac:dyDescent="0.25">
      <c r="B97" s="1" t="s">
        <v>76</v>
      </c>
      <c r="C97" s="1" t="s">
        <v>139</v>
      </c>
      <c r="D97" s="5"/>
      <c r="E97" s="5"/>
      <c r="F97" s="5"/>
      <c r="G97" s="4">
        <f>+(1+G84)/(+G83+1)</f>
        <v>1.1149089475130107</v>
      </c>
      <c r="H97" s="4">
        <f t="shared" ref="H97:X97" si="64">+(1+H84)/(+H83+1)</f>
        <v>1.1209284769572048</v>
      </c>
      <c r="I97" s="4">
        <f t="shared" si="64"/>
        <v>1.1254729235006886</v>
      </c>
      <c r="J97" s="4">
        <f t="shared" si="64"/>
        <v>1.1067525605880544</v>
      </c>
      <c r="K97" s="4">
        <f t="shared" si="64"/>
        <v>1.0882960784445428</v>
      </c>
      <c r="L97" s="4">
        <f t="shared" si="64"/>
        <v>1.0995961195321271</v>
      </c>
      <c r="M97" s="4">
        <f t="shared" si="64"/>
        <v>1.1187389342720671</v>
      </c>
      <c r="N97" s="4">
        <f t="shared" si="64"/>
        <v>1.1326110080873575</v>
      </c>
      <c r="O97" s="4">
        <f t="shared" si="64"/>
        <v>1.0983163391648918</v>
      </c>
      <c r="P97" s="4">
        <f t="shared" si="64"/>
        <v>1.1056903812163614</v>
      </c>
      <c r="Q97" s="4">
        <f t="shared" si="64"/>
        <v>1.1101691248678593</v>
      </c>
      <c r="R97" s="4">
        <f t="shared" si="64"/>
        <v>1.1034449379952636</v>
      </c>
      <c r="S97" s="4">
        <f t="shared" si="64"/>
        <v>1.1027754915833174</v>
      </c>
      <c r="T97" s="4">
        <f t="shared" si="64"/>
        <v>1.1193826871521464</v>
      </c>
      <c r="U97" s="4">
        <f t="shared" si="64"/>
        <v>1.1277227506487937</v>
      </c>
      <c r="V97" s="4">
        <f t="shared" si="64"/>
        <v>1.143729306917779</v>
      </c>
      <c r="W97" s="4">
        <f t="shared" si="64"/>
        <v>1.0886016928358111</v>
      </c>
      <c r="X97" s="4">
        <f t="shared" si="64"/>
        <v>1.0598040795390766</v>
      </c>
    </row>
    <row r="98" spans="2:24" x14ac:dyDescent="0.25">
      <c r="B98" s="1" t="s">
        <v>80</v>
      </c>
      <c r="C98" s="1" t="s">
        <v>139</v>
      </c>
      <c r="D98" s="5"/>
      <c r="E98" s="5"/>
      <c r="F98" s="5"/>
      <c r="G98" s="4">
        <f>+G97*G96</f>
        <v>1.3479439059274441</v>
      </c>
      <c r="H98" s="4">
        <f t="shared" ref="H98:X98" si="65">+H97*H96</f>
        <v>1.3404999836846114</v>
      </c>
      <c r="I98" s="4">
        <f t="shared" si="65"/>
        <v>1.32250219722579</v>
      </c>
      <c r="J98" s="4">
        <f t="shared" si="65"/>
        <v>1.2723580674134798</v>
      </c>
      <c r="K98" s="4">
        <f t="shared" si="65"/>
        <v>1.2328575277659215</v>
      </c>
      <c r="L98" s="4">
        <f t="shared" si="65"/>
        <v>1.2431091849606077</v>
      </c>
      <c r="M98" s="4">
        <f t="shared" si="65"/>
        <v>1.2657823161316746</v>
      </c>
      <c r="N98" s="4">
        <f t="shared" si="65"/>
        <v>1.2982862314970005</v>
      </c>
      <c r="O98" s="4">
        <f t="shared" si="65"/>
        <v>1.255985007888355</v>
      </c>
      <c r="P98" s="4">
        <f t="shared" si="65"/>
        <v>1.2507503683667915</v>
      </c>
      <c r="Q98" s="4">
        <f t="shared" si="65"/>
        <v>1.2725424097921361</v>
      </c>
      <c r="R98" s="4">
        <f t="shared" si="65"/>
        <v>1.2577802673079335</v>
      </c>
      <c r="S98" s="4">
        <f t="shared" si="65"/>
        <v>1.2909294738354649</v>
      </c>
      <c r="T98" s="4">
        <f t="shared" si="65"/>
        <v>1.3055400797868224</v>
      </c>
      <c r="U98" s="4">
        <f t="shared" si="65"/>
        <v>1.3059985889149959</v>
      </c>
      <c r="V98" s="4">
        <f t="shared" si="65"/>
        <v>1.3168619491286155</v>
      </c>
      <c r="W98" s="4">
        <f t="shared" si="65"/>
        <v>1.2194183095121762</v>
      </c>
      <c r="X98" s="4">
        <f t="shared" si="65"/>
        <v>1.1519599793770818</v>
      </c>
    </row>
    <row r="100" spans="2:24" x14ac:dyDescent="0.25">
      <c r="B100" s="9" t="s">
        <v>81</v>
      </c>
      <c r="C100" s="11"/>
      <c r="D100" s="11"/>
      <c r="E100" s="11"/>
      <c r="F100" s="11"/>
    </row>
    <row r="102" spans="2:24" x14ac:dyDescent="0.25">
      <c r="B102" s="1" t="s">
        <v>82</v>
      </c>
      <c r="C102" s="1" t="s">
        <v>160</v>
      </c>
      <c r="D102" s="5"/>
      <c r="E102" s="5"/>
      <c r="F102" s="5"/>
      <c r="G102" s="52">
        <f>+G22/G55/1000</f>
        <v>7.7132812499999996</v>
      </c>
      <c r="H102" s="52">
        <f>+H22/H55/1000</f>
        <v>7.7872656249999999</v>
      </c>
      <c r="I102" s="52">
        <f t="shared" ref="I102:X102" si="66">+I22/I55/1000</f>
        <v>7.604739583333334</v>
      </c>
      <c r="J102" s="52">
        <f t="shared" si="66"/>
        <v>7.8926302083333342</v>
      </c>
      <c r="K102" s="52">
        <f t="shared" si="66"/>
        <v>8.8596093749999998</v>
      </c>
      <c r="L102" s="52">
        <f t="shared" si="66"/>
        <v>8.9932552083333341</v>
      </c>
      <c r="M102" s="52">
        <f t="shared" si="66"/>
        <v>9.3323177083333331</v>
      </c>
      <c r="N102" s="52">
        <f t="shared" si="66"/>
        <v>9.8970052083333346</v>
      </c>
      <c r="O102" s="52">
        <f t="shared" si="66"/>
        <v>11.011666666666668</v>
      </c>
      <c r="P102" s="52">
        <f t="shared" si="66"/>
        <v>10.894348958333333</v>
      </c>
      <c r="Q102" s="52">
        <f t="shared" si="66"/>
        <v>10.689609375</v>
      </c>
      <c r="R102" s="52">
        <f t="shared" si="66"/>
        <v>11.209375</v>
      </c>
      <c r="S102" s="52">
        <f t="shared" si="66"/>
        <v>12.892838541666668</v>
      </c>
      <c r="T102" s="52">
        <f t="shared" si="66"/>
        <v>12.984140625</v>
      </c>
      <c r="U102" s="52">
        <f t="shared" si="66"/>
        <v>12.20546875</v>
      </c>
      <c r="V102" s="52">
        <f t="shared" si="66"/>
        <v>12.646666666666668</v>
      </c>
      <c r="W102" s="52">
        <f t="shared" si="66"/>
        <v>13.768515624999999</v>
      </c>
      <c r="X102" s="52">
        <f t="shared" si="66"/>
        <v>12.714244791666667</v>
      </c>
    </row>
    <row r="103" spans="2:24" x14ac:dyDescent="0.25">
      <c r="B103" s="1" t="s">
        <v>83</v>
      </c>
      <c r="C103" s="1" t="s">
        <v>160</v>
      </c>
      <c r="D103" s="5"/>
      <c r="E103" s="5"/>
      <c r="F103" s="5"/>
      <c r="G103" s="53">
        <f>(+G41+F41+E41+D41)/((+G55+G55)/2)/1000</f>
        <v>2.6952083333333312</v>
      </c>
      <c r="H103" s="53">
        <f>(+H41+G41+F41+E41)/((+G55+I55)/2)/1000</f>
        <v>2.6549978455355729</v>
      </c>
      <c r="I103" s="53">
        <f>(+I41+H41+G41+F41)/((+I55+G55)/2)/1000</f>
        <v>2.511607977610367</v>
      </c>
      <c r="J103" s="53">
        <f>(+J41+I41+H41+G41)/((+J55+G55)/2)/1000</f>
        <v>2.0698685666859484</v>
      </c>
      <c r="K103" s="53">
        <f>(+K41+J41+I41+H41)/((+K55+H55)/2)/1000</f>
        <v>2.1771614583333334</v>
      </c>
      <c r="L103" s="53">
        <f t="shared" ref="L103:X103" si="67">(+L41+K41+J41+I41)/((+L55+I55)/2)/1000</f>
        <v>2.1898958333333334</v>
      </c>
      <c r="M103" s="53">
        <f t="shared" si="67"/>
        <v>2.6276562499999998</v>
      </c>
      <c r="N103" s="53">
        <f t="shared" si="67"/>
        <v>2.96484375</v>
      </c>
      <c r="O103" s="53">
        <f t="shared" si="67"/>
        <v>3.0691666666666668</v>
      </c>
      <c r="P103" s="53">
        <f t="shared" si="67"/>
        <v>2.7742708333333335</v>
      </c>
      <c r="Q103" s="53">
        <f t="shared" si="67"/>
        <v>2.7800260416666669</v>
      </c>
      <c r="R103" s="53">
        <f t="shared" si="67"/>
        <v>2.5999218750000002</v>
      </c>
      <c r="S103" s="53">
        <f t="shared" si="67"/>
        <v>3.1972916666666671</v>
      </c>
      <c r="T103" s="53">
        <f t="shared" si="67"/>
        <v>3.4293749999999998</v>
      </c>
      <c r="U103" s="53">
        <f t="shared" si="67"/>
        <v>3.2954687499999999</v>
      </c>
      <c r="V103" s="53">
        <f t="shared" si="67"/>
        <v>3.9547395833333336</v>
      </c>
      <c r="W103" s="53">
        <f t="shared" si="67"/>
        <v>2.76859375</v>
      </c>
      <c r="X103" s="53">
        <f t="shared" si="67"/>
        <v>1.6659375000000001</v>
      </c>
    </row>
    <row r="104" spans="2:24" x14ac:dyDescent="0.25">
      <c r="B104" s="1" t="s">
        <v>84</v>
      </c>
      <c r="C104" s="1" t="s">
        <v>133</v>
      </c>
      <c r="D104" s="5"/>
      <c r="E104" s="5"/>
      <c r="F104" s="5"/>
      <c r="G104" s="3">
        <f t="shared" ref="G104:I104" si="68">+G55*G62*1000</f>
        <v>1401600</v>
      </c>
      <c r="H104" s="3">
        <f t="shared" si="68"/>
        <v>1111679.9999999998</v>
      </c>
      <c r="I104" s="3">
        <f t="shared" si="68"/>
        <v>1497600</v>
      </c>
      <c r="J104" s="3">
        <f>+J55*J62*1000</f>
        <v>1804800</v>
      </c>
      <c r="K104" s="3">
        <f t="shared" ref="K104:X104" si="69">+K55*K62*1000</f>
        <v>1866240</v>
      </c>
      <c r="L104" s="3">
        <f t="shared" si="69"/>
        <v>2202240</v>
      </c>
      <c r="M104" s="3">
        <f t="shared" si="69"/>
        <v>2073600</v>
      </c>
      <c r="N104" s="3">
        <f t="shared" si="69"/>
        <v>2208000</v>
      </c>
      <c r="O104" s="3">
        <f t="shared" si="69"/>
        <v>2611200</v>
      </c>
      <c r="P104" s="3">
        <f t="shared" si="69"/>
        <v>2284799.9999999995</v>
      </c>
      <c r="Q104" s="3">
        <f t="shared" si="69"/>
        <v>2208000</v>
      </c>
      <c r="R104" s="3">
        <f t="shared" si="69"/>
        <v>1628159.9999999998</v>
      </c>
      <c r="S104" s="3">
        <f t="shared" si="69"/>
        <v>1804800</v>
      </c>
      <c r="T104" s="3">
        <f t="shared" si="69"/>
        <v>2206080</v>
      </c>
      <c r="U104" s="3">
        <f t="shared" si="69"/>
        <v>2265600</v>
      </c>
      <c r="V104" s="3">
        <f t="shared" si="69"/>
        <v>2127359.9999999995</v>
      </c>
      <c r="W104" s="3">
        <f t="shared" si="69"/>
        <v>2803200</v>
      </c>
      <c r="X104" s="3">
        <f t="shared" si="69"/>
        <v>2718720</v>
      </c>
    </row>
    <row r="105" spans="2:24" x14ac:dyDescent="0.25">
      <c r="B105" s="1" t="s">
        <v>86</v>
      </c>
      <c r="C105" s="1" t="s">
        <v>139</v>
      </c>
      <c r="D105" s="5"/>
      <c r="E105" s="5"/>
      <c r="F105" s="5"/>
      <c r="G105" s="52">
        <f t="shared" ref="G105:I105" si="70">+G62/G102</f>
        <v>4.7320976400283605</v>
      </c>
      <c r="H105" s="52">
        <f t="shared" si="70"/>
        <v>3.7176078734311826</v>
      </c>
      <c r="I105" s="52">
        <f t="shared" si="70"/>
        <v>5.1283807384375146</v>
      </c>
      <c r="J105" s="52">
        <f>+J62/J102</f>
        <v>5.9549223464664092</v>
      </c>
      <c r="K105" s="52">
        <f t="shared" ref="K105:X105" si="71">+K62/K102</f>
        <v>5.4855691648369094</v>
      </c>
      <c r="L105" s="52">
        <f t="shared" si="71"/>
        <v>6.3770012827900535</v>
      </c>
      <c r="M105" s="52">
        <f t="shared" si="71"/>
        <v>5.7863439380959427</v>
      </c>
      <c r="N105" s="52">
        <f t="shared" si="71"/>
        <v>5.8098383086213463</v>
      </c>
      <c r="O105" s="52">
        <f t="shared" si="71"/>
        <v>6.1752686544573923</v>
      </c>
      <c r="P105" s="52">
        <f t="shared" si="71"/>
        <v>5.4615471036924248</v>
      </c>
      <c r="Q105" s="52">
        <f t="shared" si="71"/>
        <v>5.3790553034123381</v>
      </c>
      <c r="R105" s="52">
        <f t="shared" si="71"/>
        <v>3.7825480903261779</v>
      </c>
      <c r="S105" s="52">
        <f t="shared" si="71"/>
        <v>3.6454346223375778</v>
      </c>
      <c r="T105" s="52">
        <f t="shared" si="71"/>
        <v>4.4246286034043933</v>
      </c>
      <c r="U105" s="52">
        <f t="shared" si="71"/>
        <v>4.833898739038597</v>
      </c>
      <c r="V105" s="52">
        <f t="shared" si="71"/>
        <v>4.3806009488666309</v>
      </c>
      <c r="W105" s="52">
        <f t="shared" si="71"/>
        <v>5.3019513496030912</v>
      </c>
      <c r="X105" s="52">
        <f t="shared" si="71"/>
        <v>5.5685572489845905</v>
      </c>
    </row>
    <row r="106" spans="2:24" x14ac:dyDescent="0.25">
      <c r="B106" s="34" t="s">
        <v>162</v>
      </c>
      <c r="C106" s="1" t="s">
        <v>139</v>
      </c>
      <c r="D106" s="5"/>
      <c r="E106" s="5"/>
      <c r="F106" s="5"/>
      <c r="G106" s="32" t="s">
        <v>165</v>
      </c>
      <c r="H106" s="32" t="s">
        <v>165</v>
      </c>
      <c r="I106" s="52">
        <f>+I64/+I103</f>
        <v>15.091495304160931</v>
      </c>
      <c r="J106" s="52">
        <f t="shared" ref="J106:X106" si="72">+J64/+J103</f>
        <v>18.785148714479227</v>
      </c>
      <c r="K106" s="52">
        <f t="shared" si="72"/>
        <v>18.477860500563022</v>
      </c>
      <c r="L106" s="52">
        <f t="shared" si="72"/>
        <v>20.422947202950052</v>
      </c>
      <c r="M106" s="52">
        <f t="shared" si="72"/>
        <v>18.879957957092643</v>
      </c>
      <c r="N106" s="52">
        <f t="shared" si="72"/>
        <v>17.694991641800375</v>
      </c>
      <c r="O106" s="52">
        <f t="shared" si="72"/>
        <v>18.518113885076069</v>
      </c>
      <c r="P106" s="52">
        <f t="shared" si="72"/>
        <v>21.099393890298295</v>
      </c>
      <c r="Q106" s="52">
        <f t="shared" si="72"/>
        <v>21.386113539255337</v>
      </c>
      <c r="R106" s="52">
        <f t="shared" si="72"/>
        <v>22.066810806376289</v>
      </c>
      <c r="S106" s="52">
        <f t="shared" si="72"/>
        <v>16.478787527936067</v>
      </c>
      <c r="T106" s="52">
        <f t="shared" si="72"/>
        <v>14.749274620242353</v>
      </c>
      <c r="U106" s="52">
        <f t="shared" si="72"/>
        <v>15.122068078735278</v>
      </c>
      <c r="V106" s="52">
        <f t="shared" si="72"/>
        <v>13.232325543498359</v>
      </c>
      <c r="W106" s="52">
        <f t="shared" si="72"/>
        <v>20.649239289335853</v>
      </c>
      <c r="X106" s="52">
        <f t="shared" si="72"/>
        <v>37.344630958971365</v>
      </c>
    </row>
    <row r="107" spans="2:24" x14ac:dyDescent="0.25">
      <c r="B107" s="1" t="s">
        <v>85</v>
      </c>
      <c r="C107" s="1" t="s">
        <v>152</v>
      </c>
      <c r="D107" s="5"/>
      <c r="E107" s="5"/>
      <c r="F107" s="5"/>
      <c r="G107" s="21">
        <v>0</v>
      </c>
      <c r="H107" s="21">
        <v>0</v>
      </c>
      <c r="I107" s="21">
        <v>0</v>
      </c>
      <c r="J107" s="28">
        <f>+J58/G103</f>
        <v>0.37102883203215614</v>
      </c>
      <c r="K107" s="21">
        <f t="shared" ref="K107:M108" si="73">+J107</f>
        <v>0.37102883203215614</v>
      </c>
      <c r="L107" s="21">
        <f t="shared" si="73"/>
        <v>0.37102883203215614</v>
      </c>
      <c r="M107" s="21">
        <f t="shared" si="73"/>
        <v>0.37102883203215614</v>
      </c>
      <c r="N107" s="28">
        <f>+N58/K103</f>
        <v>0.45931366099302656</v>
      </c>
      <c r="O107" s="21">
        <f t="shared" ref="O107:Q108" si="74">+N107</f>
        <v>0.45931366099302656</v>
      </c>
      <c r="P107" s="21">
        <f t="shared" si="74"/>
        <v>0.45931366099302656</v>
      </c>
      <c r="Q107" s="21">
        <f t="shared" si="74"/>
        <v>0.45931366099302656</v>
      </c>
      <c r="R107" s="28">
        <f>+R58/O103</f>
        <v>0.48873201194678251</v>
      </c>
      <c r="S107" s="21">
        <f t="shared" ref="S107:U108" si="75">+R107</f>
        <v>0.48873201194678251</v>
      </c>
      <c r="T107" s="21">
        <f t="shared" si="75"/>
        <v>0.48873201194678251</v>
      </c>
      <c r="U107" s="21">
        <f t="shared" si="75"/>
        <v>0.48873201194678251</v>
      </c>
      <c r="V107" s="28">
        <f>+V58/S103</f>
        <v>0.500423535544406</v>
      </c>
      <c r="W107" s="21">
        <f>+V107</f>
        <v>0.500423535544406</v>
      </c>
      <c r="X107" s="21">
        <f>+W107</f>
        <v>0.500423535544406</v>
      </c>
    </row>
    <row r="108" spans="2:24" x14ac:dyDescent="0.25">
      <c r="B108" s="1" t="s">
        <v>163</v>
      </c>
      <c r="C108" s="1" t="s">
        <v>152</v>
      </c>
      <c r="D108" s="5"/>
      <c r="E108" s="5"/>
      <c r="F108" s="5"/>
      <c r="G108" s="21">
        <v>0</v>
      </c>
      <c r="H108" s="21">
        <v>0</v>
      </c>
      <c r="I108" s="21">
        <v>0</v>
      </c>
      <c r="J108" s="28">
        <f>+J58/J64</f>
        <v>2.5718319845731068E-2</v>
      </c>
      <c r="K108" s="21">
        <f t="shared" si="73"/>
        <v>2.5718319845731068E-2</v>
      </c>
      <c r="L108" s="21">
        <f t="shared" si="73"/>
        <v>2.5718319845731068E-2</v>
      </c>
      <c r="M108" s="21">
        <f t="shared" si="73"/>
        <v>2.5718319845731068E-2</v>
      </c>
      <c r="N108" s="28">
        <f>+O58/O64</f>
        <v>1.7594736878707589E-2</v>
      </c>
      <c r="O108" s="21">
        <f t="shared" si="74"/>
        <v>1.7594736878707589E-2</v>
      </c>
      <c r="P108" s="21">
        <f t="shared" si="74"/>
        <v>1.7594736878707589E-2</v>
      </c>
      <c r="Q108" s="21">
        <f t="shared" si="74"/>
        <v>1.7594736878707589E-2</v>
      </c>
      <c r="R108" s="28">
        <f>+S58/S64</f>
        <v>2.8469756271664263E-2</v>
      </c>
      <c r="S108" s="21">
        <f t="shared" si="75"/>
        <v>2.8469756271664263E-2</v>
      </c>
      <c r="T108" s="21">
        <f t="shared" si="75"/>
        <v>2.8469756271664263E-2</v>
      </c>
      <c r="U108" s="21">
        <f t="shared" si="75"/>
        <v>2.8469756271664263E-2</v>
      </c>
      <c r="V108" s="28">
        <f>+W58/W64</f>
        <v>2.7987022146988293E-2</v>
      </c>
      <c r="W108" s="21">
        <f>+V108</f>
        <v>2.7987022146988293E-2</v>
      </c>
      <c r="X108" s="21">
        <f>+W108</f>
        <v>2.7987022146988293E-2</v>
      </c>
    </row>
    <row r="109" spans="2:24" x14ac:dyDescent="0.25">
      <c r="B109" s="34" t="s">
        <v>164</v>
      </c>
      <c r="C109" s="34" t="s">
        <v>152</v>
      </c>
      <c r="D109" s="5"/>
      <c r="E109" s="5"/>
      <c r="F109" s="5"/>
      <c r="G109" s="21">
        <v>0</v>
      </c>
      <c r="H109" s="21">
        <v>0</v>
      </c>
      <c r="I109" s="21">
        <v>0</v>
      </c>
      <c r="J109" s="21">
        <f>+J58/J62</f>
        <v>2.1276595744680851E-2</v>
      </c>
      <c r="K109" s="21">
        <f t="shared" ref="K109:X109" si="76">+K58/K62</f>
        <v>2.0576131687242798E-2</v>
      </c>
      <c r="L109" s="21">
        <f t="shared" si="76"/>
        <v>1.7436791630340016E-2</v>
      </c>
      <c r="M109" s="21">
        <f t="shared" si="76"/>
        <v>1.8518518518518517E-2</v>
      </c>
      <c r="N109" s="21">
        <f t="shared" si="76"/>
        <v>1.7391304347826087E-2</v>
      </c>
      <c r="O109" s="21">
        <f t="shared" si="76"/>
        <v>1.4705882352941176E-2</v>
      </c>
      <c r="P109" s="21">
        <f t="shared" si="76"/>
        <v>1.680672268907563E-2</v>
      </c>
      <c r="Q109" s="21">
        <f t="shared" si="76"/>
        <v>1.7391304347826087E-2</v>
      </c>
      <c r="R109" s="21">
        <f t="shared" si="76"/>
        <v>3.5377358490566037E-2</v>
      </c>
      <c r="S109" s="21">
        <f t="shared" si="76"/>
        <v>3.1914893617021274E-2</v>
      </c>
      <c r="T109" s="21">
        <f t="shared" si="76"/>
        <v>2.6109660574412531E-2</v>
      </c>
      <c r="U109" s="21">
        <f t="shared" si="76"/>
        <v>2.5423728813559324E-2</v>
      </c>
      <c r="V109" s="21">
        <f t="shared" si="76"/>
        <v>2.8880866425992781E-2</v>
      </c>
      <c r="W109" s="21">
        <f t="shared" si="76"/>
        <v>2.1917808219178082E-2</v>
      </c>
      <c r="X109" s="21">
        <f t="shared" si="76"/>
        <v>2.2598870056497179E-2</v>
      </c>
    </row>
    <row r="111" spans="2:24" ht="30" x14ac:dyDescent="0.25">
      <c r="B111" s="12" t="s">
        <v>87</v>
      </c>
      <c r="C111" s="38"/>
      <c r="D111" s="38"/>
      <c r="E111" s="38"/>
      <c r="F111" s="38"/>
    </row>
    <row r="113" spans="2:24" x14ac:dyDescent="0.25">
      <c r="B113" s="6" t="s">
        <v>88</v>
      </c>
      <c r="C113" s="6"/>
      <c r="D113" s="43"/>
      <c r="E113" s="43"/>
      <c r="F113" s="43"/>
      <c r="G113" s="55">
        <f>(+G70/G14)*1.2</f>
        <v>0.30599597585513078</v>
      </c>
      <c r="H113" s="55">
        <f t="shared" ref="H113:X113" si="77">+H70/H14</f>
        <v>0.40984792284866467</v>
      </c>
      <c r="I113" s="55">
        <f t="shared" ref="I113:J113" si="78">+I70/I14</f>
        <v>0.32407565378484338</v>
      </c>
      <c r="J113" s="55">
        <f t="shared" si="78"/>
        <v>0.33571462096579718</v>
      </c>
      <c r="K113" s="55">
        <f t="shared" si="77"/>
        <v>0.38405443411204354</v>
      </c>
      <c r="L113" s="55">
        <f t="shared" ref="L113" si="79">+L70/L14</f>
        <v>0.32261872377607964</v>
      </c>
      <c r="M113" s="55">
        <f t="shared" si="77"/>
        <v>0.26800662458617225</v>
      </c>
      <c r="N113" s="55">
        <f t="shared" si="77"/>
        <v>0.24664147051195368</v>
      </c>
      <c r="O113" s="55">
        <f t="shared" si="77"/>
        <v>0.38041526225926026</v>
      </c>
      <c r="P113" s="55">
        <f t="shared" si="77"/>
        <v>0.34647091798374607</v>
      </c>
      <c r="Q113" s="55">
        <f t="shared" si="77"/>
        <v>0.27244757608678344</v>
      </c>
      <c r="R113" s="55">
        <f t="shared" si="77"/>
        <v>0.35400545158516727</v>
      </c>
      <c r="S113" s="55">
        <f t="shared" si="77"/>
        <v>0.34848950873693707</v>
      </c>
      <c r="T113" s="55">
        <f t="shared" si="77"/>
        <v>0.29167932930055429</v>
      </c>
      <c r="U113" s="55">
        <f t="shared" si="77"/>
        <v>0.26046638299987468</v>
      </c>
      <c r="V113" s="55">
        <f t="shared" si="77"/>
        <v>0.25757097079929592</v>
      </c>
      <c r="W113" s="55">
        <f t="shared" si="77"/>
        <v>0.27138145451348206</v>
      </c>
      <c r="X113" s="55">
        <f t="shared" si="77"/>
        <v>0.28447045724560555</v>
      </c>
    </row>
    <row r="114" spans="2:24" x14ac:dyDescent="0.25">
      <c r="B114" s="6" t="s">
        <v>166</v>
      </c>
      <c r="C114" s="6"/>
      <c r="D114" s="43"/>
      <c r="E114" s="43"/>
      <c r="F114" s="43"/>
      <c r="G114" s="55">
        <f>(+(+G22-G41-F41-E41-D41)/+G14)*1.4</f>
        <v>0.54828282828282848</v>
      </c>
      <c r="H114" s="55">
        <f t="shared" ref="H114:X114" si="80">+(+H22-H41-G41-F41-E41)/+H14</f>
        <v>0.36550274987283748</v>
      </c>
      <c r="I114" s="55">
        <f t="shared" si="80"/>
        <v>0.33704063359572944</v>
      </c>
      <c r="J114" s="55">
        <f t="shared" si="80"/>
        <v>0.36187703142759042</v>
      </c>
      <c r="K114" s="55">
        <f t="shared" si="80"/>
        <v>0.46560399183488321</v>
      </c>
      <c r="L114" s="55">
        <f t="shared" si="80"/>
        <v>0.43070949872641395</v>
      </c>
      <c r="M114" s="55">
        <f t="shared" si="80"/>
        <v>0.43026219256421955</v>
      </c>
      <c r="N114" s="55">
        <f t="shared" si="80"/>
        <v>0.3990732092715053</v>
      </c>
      <c r="O114" s="55">
        <f t="shared" si="80"/>
        <v>0.44969346320231429</v>
      </c>
      <c r="P114" s="55">
        <f t="shared" si="80"/>
        <v>0.41420054675731466</v>
      </c>
      <c r="Q114" s="55">
        <f t="shared" si="80"/>
        <v>0.37200187637252607</v>
      </c>
      <c r="R114" s="55">
        <f t="shared" si="80"/>
        <v>0.37800134460238188</v>
      </c>
      <c r="S114" s="55">
        <f t="shared" si="80"/>
        <v>0.38556750996517236</v>
      </c>
      <c r="T114" s="55">
        <f t="shared" si="80"/>
        <v>0.3655836087559996</v>
      </c>
      <c r="U114" s="55">
        <f t="shared" si="80"/>
        <v>0.35430113483975656</v>
      </c>
      <c r="V114" s="55">
        <f t="shared" si="80"/>
        <v>0.34236050991478173</v>
      </c>
      <c r="W114" s="55">
        <f t="shared" si="80"/>
        <v>0.43184843484501806</v>
      </c>
      <c r="X114" s="55">
        <f t="shared" si="80"/>
        <v>0.45246241166822021</v>
      </c>
    </row>
    <row r="115" spans="2:24" x14ac:dyDescent="0.25">
      <c r="B115" s="6" t="s">
        <v>89</v>
      </c>
      <c r="C115" s="6"/>
      <c r="D115" s="43"/>
      <c r="E115" s="43"/>
      <c r="F115" s="43"/>
      <c r="G115" s="55">
        <f>((+G37+F37+E37+D37)/+G14)*3.3</f>
        <v>0.89167002012072372</v>
      </c>
      <c r="H115" s="55">
        <f t="shared" ref="H115:X115" si="81">(+H37+G37+F37+E37)/+H14</f>
        <v>0.23998021742950054</v>
      </c>
      <c r="I115" s="55">
        <f t="shared" si="81"/>
        <v>0.21603798678932556</v>
      </c>
      <c r="J115" s="55">
        <f t="shared" si="81"/>
        <v>0.18595104866005482</v>
      </c>
      <c r="K115" s="55">
        <f t="shared" si="81"/>
        <v>0.19625130415060105</v>
      </c>
      <c r="L115" s="55">
        <f t="shared" si="81"/>
        <v>0.18108497992762404</v>
      </c>
      <c r="M115" s="55">
        <f t="shared" si="81"/>
        <v>0.18257051992305853</v>
      </c>
      <c r="N115" s="55">
        <f t="shared" si="81"/>
        <v>0.187247107714311</v>
      </c>
      <c r="O115" s="55">
        <f t="shared" si="81"/>
        <v>0.19037866657230229</v>
      </c>
      <c r="P115" s="55">
        <f t="shared" si="81"/>
        <v>0.15680085865871771</v>
      </c>
      <c r="Q115" s="55">
        <f t="shared" si="81"/>
        <v>0.16761812144735441</v>
      </c>
      <c r="R115" s="55">
        <f t="shared" si="81"/>
        <v>0.14692182097579715</v>
      </c>
      <c r="S115" s="55">
        <f t="shared" si="81"/>
        <v>0.16471609226470646</v>
      </c>
      <c r="T115" s="55">
        <f t="shared" si="81"/>
        <v>0.16522769325504255</v>
      </c>
      <c r="U115" s="55">
        <f t="shared" si="81"/>
        <v>0.16821599545194249</v>
      </c>
      <c r="V115" s="55">
        <f t="shared" si="81"/>
        <v>0.16803944577334476</v>
      </c>
      <c r="W115" s="55">
        <f t="shared" si="81"/>
        <v>0.14449644928914215</v>
      </c>
      <c r="X115" s="55">
        <f t="shared" si="81"/>
        <v>0.1093842317774711</v>
      </c>
    </row>
    <row r="116" spans="2:24" x14ac:dyDescent="0.25">
      <c r="B116" s="6" t="s">
        <v>90</v>
      </c>
      <c r="C116" s="6"/>
      <c r="D116" s="43"/>
      <c r="E116" s="43"/>
      <c r="F116" s="43"/>
      <c r="G116" s="55">
        <f>(+G104/+G18)*0.6</f>
        <v>4.2941176470588234</v>
      </c>
      <c r="H116" s="55">
        <f t="shared" ref="H116:X116" si="82">+H104/+H18</f>
        <v>4.6287405951642375</v>
      </c>
      <c r="I116" s="55">
        <f t="shared" ref="I116:J116" si="83">+I104/+I18</f>
        <v>5.1954359538322237</v>
      </c>
      <c r="J116" s="55">
        <f t="shared" si="83"/>
        <v>5.7332367628559444</v>
      </c>
      <c r="K116" s="55">
        <f t="shared" si="82"/>
        <v>8.8482618672836573</v>
      </c>
      <c r="L116" s="55">
        <f t="shared" ref="L116" si="84">+L104/+L18</f>
        <v>8.4307885488526644</v>
      </c>
      <c r="M116" s="55">
        <f t="shared" si="82"/>
        <v>8.6394240383974399</v>
      </c>
      <c r="N116" s="55">
        <f t="shared" si="82"/>
        <v>7.6937014788074762</v>
      </c>
      <c r="O116" s="55">
        <f t="shared" si="82"/>
        <v>10.225003328451605</v>
      </c>
      <c r="P116" s="55">
        <f t="shared" si="82"/>
        <v>6.8313305965753637</v>
      </c>
      <c r="Q116" s="55">
        <f t="shared" si="82"/>
        <v>5.4385843916568959</v>
      </c>
      <c r="R116" s="55">
        <f t="shared" si="82"/>
        <v>3.6656400280974761</v>
      </c>
      <c r="S116" s="55">
        <f t="shared" si="82"/>
        <v>3.8356909684439606</v>
      </c>
      <c r="T116" s="55">
        <f t="shared" si="82"/>
        <v>4.3683195450459191</v>
      </c>
      <c r="U116" s="55">
        <f t="shared" si="82"/>
        <v>4.5585788244194632</v>
      </c>
      <c r="V116" s="55">
        <f t="shared" si="82"/>
        <v>4.3479753758614761</v>
      </c>
      <c r="W116" s="55">
        <f t="shared" si="82"/>
        <v>6.2376085606905161</v>
      </c>
      <c r="X116" s="55">
        <f t="shared" si="82"/>
        <v>6.0492489392142508</v>
      </c>
    </row>
    <row r="117" spans="2:24" ht="30" x14ac:dyDescent="0.25">
      <c r="B117" s="57" t="s">
        <v>169</v>
      </c>
      <c r="C117" s="6"/>
      <c r="D117" s="43"/>
      <c r="E117" s="43"/>
      <c r="F117" s="43"/>
      <c r="G117" s="55">
        <f>(+G22/G18)*0.6</f>
        <v>0.90744485294117649</v>
      </c>
      <c r="H117" s="55">
        <f t="shared" ref="H117:X117" si="85">+H22/H18</f>
        <v>1.2450857521162182</v>
      </c>
      <c r="I117" s="55">
        <f t="shared" ref="I117:J117" si="86">+I22/I18</f>
        <v>1.0130753192507971</v>
      </c>
      <c r="J117" s="55">
        <f t="shared" si="86"/>
        <v>0.96277271629880934</v>
      </c>
      <c r="K117" s="55">
        <f t="shared" si="85"/>
        <v>1.6130070739061997</v>
      </c>
      <c r="L117" s="55">
        <f t="shared" ref="L117" si="87">+L22/L18</f>
        <v>1.3220616046613123</v>
      </c>
      <c r="M117" s="55">
        <f t="shared" si="85"/>
        <v>1.4930712952469836</v>
      </c>
      <c r="N117" s="55">
        <f t="shared" si="85"/>
        <v>1.3242539757759906</v>
      </c>
      <c r="O117" s="55">
        <f t="shared" si="85"/>
        <v>1.6557989458597977</v>
      </c>
      <c r="P117" s="55">
        <f t="shared" si="85"/>
        <v>1.2508050314089321</v>
      </c>
      <c r="Q117" s="55">
        <f t="shared" si="85"/>
        <v>1.0110668295614649</v>
      </c>
      <c r="R117" s="55">
        <f t="shared" si="85"/>
        <v>0.96909277570648944</v>
      </c>
      <c r="S117" s="55">
        <f t="shared" si="85"/>
        <v>1.052190305359086</v>
      </c>
      <c r="T117" s="55">
        <f t="shared" si="85"/>
        <v>0.98727372093667953</v>
      </c>
      <c r="U117" s="55">
        <f t="shared" si="85"/>
        <v>0.94304392179429652</v>
      </c>
      <c r="V117" s="55">
        <f t="shared" si="85"/>
        <v>0.99255226089160309</v>
      </c>
      <c r="W117" s="55">
        <f t="shared" si="85"/>
        <v>1.1764741223356319</v>
      </c>
      <c r="X117" s="55">
        <f t="shared" si="85"/>
        <v>1.0863224833177951</v>
      </c>
    </row>
    <row r="118" spans="2:24" x14ac:dyDescent="0.25">
      <c r="B118" s="6" t="s">
        <v>91</v>
      </c>
      <c r="C118" s="6"/>
      <c r="D118" s="43"/>
      <c r="E118" s="43"/>
      <c r="F118" s="43"/>
      <c r="G118" s="55">
        <f>(+(+G35+F35+E35+D35)/+G14)*0.999</f>
        <v>1.5613722516919699</v>
      </c>
      <c r="H118" s="55">
        <f t="shared" ref="H118:X118" si="88">+(+H35+G35+F35+E35)/+H14</f>
        <v>1.4650966436562747</v>
      </c>
      <c r="I118" s="55">
        <f t="shared" si="88"/>
        <v>1.4500927035428623</v>
      </c>
      <c r="J118" s="55">
        <f t="shared" si="88"/>
        <v>1.4286742116373423</v>
      </c>
      <c r="K118" s="55">
        <f t="shared" si="88"/>
        <v>1.6736820140621456</v>
      </c>
      <c r="L118" s="55">
        <f t="shared" si="88"/>
        <v>1.5685568497498166</v>
      </c>
      <c r="M118" s="55">
        <f t="shared" si="88"/>
        <v>1.5716078659440453</v>
      </c>
      <c r="N118" s="55">
        <f t="shared" si="88"/>
        <v>1.4673307017793722</v>
      </c>
      <c r="O118" s="55">
        <f t="shared" si="88"/>
        <v>1.5165521024089457</v>
      </c>
      <c r="P118" s="55">
        <f t="shared" si="88"/>
        <v>1.3519836557288636</v>
      </c>
      <c r="Q118" s="55">
        <f t="shared" si="88"/>
        <v>1.313646935768535</v>
      </c>
      <c r="R118" s="55">
        <f t="shared" si="88"/>
        <v>1.19736270420577</v>
      </c>
      <c r="S118" s="55">
        <f t="shared" si="88"/>
        <v>1.1301214875938912</v>
      </c>
      <c r="T118" s="55">
        <f t="shared" si="88"/>
        <v>1.1587580422256079</v>
      </c>
      <c r="U118" s="55">
        <f t="shared" si="88"/>
        <v>1.2323030132951982</v>
      </c>
      <c r="V118" s="55">
        <f t="shared" si="88"/>
        <v>1.2781226536247523</v>
      </c>
      <c r="W118" s="55">
        <f t="shared" si="88"/>
        <v>1.3469360422200276</v>
      </c>
      <c r="X118" s="55">
        <f t="shared" si="88"/>
        <v>1.3673162283049896</v>
      </c>
    </row>
    <row r="120" spans="2:24" x14ac:dyDescent="0.25">
      <c r="B120" s="1" t="s">
        <v>167</v>
      </c>
      <c r="C120" s="1"/>
      <c r="G120" s="56">
        <f t="shared" ref="G120:J120" si="89">+G113+G114+G115+G116+G118</f>
        <v>7.6014387230094762</v>
      </c>
      <c r="H120" s="56">
        <f t="shared" si="89"/>
        <v>7.1091681289715156</v>
      </c>
      <c r="I120" s="56">
        <f t="shared" si="89"/>
        <v>7.5226829315449848</v>
      </c>
      <c r="J120" s="56">
        <f t="shared" si="89"/>
        <v>8.0454536755467281</v>
      </c>
      <c r="K120" s="56">
        <f t="shared" ref="K120:X120" si="90">+K113+K114+K115+K116+K118</f>
        <v>11.567853611443329</v>
      </c>
      <c r="L120" s="56">
        <f t="shared" ref="L120" si="91">+L113+L114+L115+L116+L118</f>
        <v>10.933758601032599</v>
      </c>
      <c r="M120" s="56">
        <f t="shared" si="90"/>
        <v>11.091871241414935</v>
      </c>
      <c r="N120" s="56">
        <f t="shared" si="90"/>
        <v>9.9939939680846184</v>
      </c>
      <c r="O120" s="56">
        <f t="shared" si="90"/>
        <v>12.762042822894427</v>
      </c>
      <c r="P120" s="56">
        <f t="shared" si="90"/>
        <v>9.1007865757040047</v>
      </c>
      <c r="Q120" s="56">
        <f t="shared" si="90"/>
        <v>7.5642989013320951</v>
      </c>
      <c r="R120" s="56">
        <f t="shared" si="90"/>
        <v>5.7419313494665927</v>
      </c>
      <c r="S120" s="56">
        <f t="shared" si="90"/>
        <v>5.864585567004668</v>
      </c>
      <c r="T120" s="56">
        <f t="shared" si="90"/>
        <v>6.3495682185831237</v>
      </c>
      <c r="U120" s="56">
        <f t="shared" si="90"/>
        <v>6.5738653510062353</v>
      </c>
      <c r="V120" s="56">
        <f t="shared" si="90"/>
        <v>6.3940689559736512</v>
      </c>
      <c r="W120" s="56">
        <f t="shared" si="90"/>
        <v>8.4322709415581851</v>
      </c>
      <c r="X120" s="56">
        <f t="shared" si="90"/>
        <v>8.2628822682105376</v>
      </c>
    </row>
    <row r="121" spans="2:24" ht="30" x14ac:dyDescent="0.25">
      <c r="B121" s="57" t="s">
        <v>168</v>
      </c>
      <c r="C121" s="1"/>
      <c r="G121" s="56">
        <f t="shared" ref="G121:J121" si="92">+G113+G114+G115+G117+G118</f>
        <v>4.2147659288918291</v>
      </c>
      <c r="H121" s="56">
        <f t="shared" si="92"/>
        <v>3.7255132859234958</v>
      </c>
      <c r="I121" s="56">
        <f t="shared" si="92"/>
        <v>3.3403222969635578</v>
      </c>
      <c r="J121" s="56">
        <f t="shared" si="92"/>
        <v>3.2749896289895943</v>
      </c>
      <c r="K121" s="56">
        <f t="shared" ref="K121:X121" si="93">+K113+K114+K115+K117+K118</f>
        <v>4.3325988180658728</v>
      </c>
      <c r="L121" s="56">
        <f t="shared" ref="L121" si="94">+L113+L114+L115+L117+L118</f>
        <v>3.8250316568412464</v>
      </c>
      <c r="M121" s="56">
        <f t="shared" si="93"/>
        <v>3.9455184982644793</v>
      </c>
      <c r="N121" s="56">
        <f t="shared" si="93"/>
        <v>3.6245464650531325</v>
      </c>
      <c r="O121" s="56">
        <f t="shared" si="93"/>
        <v>4.1928384403026202</v>
      </c>
      <c r="P121" s="56">
        <f t="shared" si="93"/>
        <v>3.520261010537574</v>
      </c>
      <c r="Q121" s="56">
        <f t="shared" si="93"/>
        <v>3.1367813392366637</v>
      </c>
      <c r="R121" s="56">
        <f t="shared" si="93"/>
        <v>3.0453840970756056</v>
      </c>
      <c r="S121" s="56">
        <f t="shared" si="93"/>
        <v>3.0810849039197929</v>
      </c>
      <c r="T121" s="56">
        <f t="shared" si="93"/>
        <v>2.9685223944738839</v>
      </c>
      <c r="U121" s="56">
        <f t="shared" si="93"/>
        <v>2.9583304483810684</v>
      </c>
      <c r="V121" s="56">
        <f t="shared" si="93"/>
        <v>3.0386458410037775</v>
      </c>
      <c r="W121" s="56">
        <f t="shared" si="93"/>
        <v>3.371136503203302</v>
      </c>
      <c r="X121" s="56">
        <f t="shared" si="93"/>
        <v>3.2999558123140815</v>
      </c>
    </row>
    <row r="123" spans="2:24" x14ac:dyDescent="0.25">
      <c r="B123" s="9" t="s">
        <v>92</v>
      </c>
      <c r="C123" s="11"/>
      <c r="D123" s="11"/>
      <c r="E123" s="11"/>
      <c r="F123" s="11"/>
    </row>
    <row r="125" spans="2:24" ht="30" x14ac:dyDescent="0.25">
      <c r="B125" s="13" t="s">
        <v>93</v>
      </c>
      <c r="C125" s="13" t="s">
        <v>160</v>
      </c>
      <c r="D125" s="42"/>
      <c r="E125" s="42"/>
      <c r="F125" s="42"/>
      <c r="G125" s="4">
        <f>(+G14-G17)/G55/1000</f>
        <v>8.0971875000000004</v>
      </c>
      <c r="H125" s="4">
        <f t="shared" ref="H125:X125" si="95">(+H14-H17)/H55/1000</f>
        <v>10.714088541666667</v>
      </c>
      <c r="I125" s="4">
        <f t="shared" si="95"/>
        <v>10.007760416666668</v>
      </c>
      <c r="J125" s="4">
        <f t="shared" si="95"/>
        <v>10.684583333333334</v>
      </c>
      <c r="K125" s="4">
        <f t="shared" si="95"/>
        <v>10.978385416666669</v>
      </c>
      <c r="L125" s="4">
        <f t="shared" si="95"/>
        <v>10.994036458333333</v>
      </c>
      <c r="M125" s="4">
        <f t="shared" si="95"/>
        <v>10.662109375</v>
      </c>
      <c r="N125" s="4">
        <f t="shared" si="95"/>
        <v>10.840416666666668</v>
      </c>
      <c r="O125" s="4">
        <f t="shared" si="95"/>
        <v>13.749088541666667</v>
      </c>
      <c r="P125" s="4">
        <f t="shared" si="95"/>
        <v>14.238776041666668</v>
      </c>
      <c r="Q125" s="4">
        <f t="shared" si="95"/>
        <v>14.225755208333334</v>
      </c>
      <c r="R125" s="4">
        <f t="shared" si="95"/>
        <v>16.979427083333334</v>
      </c>
      <c r="S125" s="4">
        <f t="shared" si="95"/>
        <v>18.324088541666669</v>
      </c>
      <c r="T125" s="4">
        <f t="shared" si="95"/>
        <v>17.3009375</v>
      </c>
      <c r="U125" s="4">
        <f t="shared" si="95"/>
        <v>16.429427083333337</v>
      </c>
      <c r="V125" s="4">
        <f t="shared" si="95"/>
        <v>16.498281250000002</v>
      </c>
      <c r="W125" s="4">
        <f t="shared" si="95"/>
        <v>17.000260416666666</v>
      </c>
      <c r="X125" s="4">
        <f t="shared" si="95"/>
        <v>16.973697916666669</v>
      </c>
    </row>
    <row r="126" spans="2:24" x14ac:dyDescent="0.25">
      <c r="B126" s="1" t="s">
        <v>148</v>
      </c>
      <c r="C126" s="1" t="s">
        <v>160</v>
      </c>
      <c r="D126" s="5"/>
      <c r="E126" s="5"/>
      <c r="F126" s="5"/>
      <c r="G126" s="4">
        <f>-G16/+G55/1000</f>
        <v>-0.38390625</v>
      </c>
      <c r="H126" s="4">
        <f t="shared" ref="H126:X126" si="96">-H16/+H55/1000</f>
        <v>-2.9268229166666671</v>
      </c>
      <c r="I126" s="4">
        <f t="shared" si="96"/>
        <v>-2.4030208333333336</v>
      </c>
      <c r="J126" s="4">
        <f t="shared" si="96"/>
        <v>-2.791953125</v>
      </c>
      <c r="K126" s="4">
        <f t="shared" si="96"/>
        <v>-2.118776041666667</v>
      </c>
      <c r="L126" s="4">
        <f t="shared" si="96"/>
        <v>-2.0007812500000002</v>
      </c>
      <c r="M126" s="4">
        <f t="shared" si="96"/>
        <v>-1.3297916666666667</v>
      </c>
      <c r="N126" s="4">
        <f t="shared" si="96"/>
        <v>-0.9434114583333334</v>
      </c>
      <c r="O126" s="4">
        <f t="shared" si="96"/>
        <v>-2.7374218749999999</v>
      </c>
      <c r="P126" s="4">
        <f t="shared" si="96"/>
        <v>-3.3444270833333336</v>
      </c>
      <c r="Q126" s="4">
        <f t="shared" si="96"/>
        <v>-3.5361458333333333</v>
      </c>
      <c r="R126" s="4">
        <f t="shared" si="96"/>
        <v>-5.7700520833333337</v>
      </c>
      <c r="S126" s="4">
        <f t="shared" si="96"/>
        <v>-5.4312500000000004</v>
      </c>
      <c r="T126" s="4">
        <f t="shared" si="96"/>
        <v>-4.3167968749999996</v>
      </c>
      <c r="U126" s="4">
        <f t="shared" si="96"/>
        <v>-4.2239583333333339</v>
      </c>
      <c r="V126" s="4">
        <f t="shared" si="96"/>
        <v>-3.8516145833333333</v>
      </c>
      <c r="W126" s="4">
        <f t="shared" si="96"/>
        <v>-3.2317447916666668</v>
      </c>
      <c r="X126" s="4">
        <f t="shared" si="96"/>
        <v>-4.2594531250000003</v>
      </c>
    </row>
    <row r="127" spans="2:24" x14ac:dyDescent="0.25"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</row>
    <row r="128" spans="2:24" x14ac:dyDescent="0.25">
      <c r="B128" s="1" t="s">
        <v>82</v>
      </c>
      <c r="C128" s="1" t="s">
        <v>160</v>
      </c>
      <c r="D128" s="5"/>
      <c r="E128" s="5"/>
      <c r="F128" s="5"/>
      <c r="G128" s="4">
        <f>+G125+G126</f>
        <v>7.7132812500000005</v>
      </c>
      <c r="H128" s="4">
        <f t="shared" ref="H128:X128" si="97">+H125+H126</f>
        <v>7.7872656249999999</v>
      </c>
      <c r="I128" s="4">
        <f t="shared" si="97"/>
        <v>7.6047395833333349</v>
      </c>
      <c r="J128" s="4">
        <f t="shared" si="97"/>
        <v>7.8926302083333342</v>
      </c>
      <c r="K128" s="4">
        <f t="shared" si="97"/>
        <v>8.8596093750000016</v>
      </c>
      <c r="L128" s="4">
        <f t="shared" si="97"/>
        <v>8.9932552083333341</v>
      </c>
      <c r="M128" s="4">
        <f t="shared" si="97"/>
        <v>9.3323177083333331</v>
      </c>
      <c r="N128" s="4">
        <f t="shared" si="97"/>
        <v>9.8970052083333346</v>
      </c>
      <c r="O128" s="4">
        <f t="shared" si="97"/>
        <v>11.011666666666667</v>
      </c>
      <c r="P128" s="4">
        <f t="shared" si="97"/>
        <v>10.894348958333335</v>
      </c>
      <c r="Q128" s="4">
        <f t="shared" si="97"/>
        <v>10.689609375</v>
      </c>
      <c r="R128" s="4">
        <f t="shared" si="97"/>
        <v>11.209375000000001</v>
      </c>
      <c r="S128" s="4">
        <f t="shared" si="97"/>
        <v>12.892838541666668</v>
      </c>
      <c r="T128" s="4">
        <f t="shared" si="97"/>
        <v>12.984140625</v>
      </c>
      <c r="U128" s="4">
        <f t="shared" si="97"/>
        <v>12.205468750000003</v>
      </c>
      <c r="V128" s="4">
        <f t="shared" si="97"/>
        <v>12.646666666666668</v>
      </c>
      <c r="W128" s="4">
        <f t="shared" si="97"/>
        <v>13.768515624999999</v>
      </c>
      <c r="X128" s="4">
        <f t="shared" si="97"/>
        <v>12.714244791666669</v>
      </c>
    </row>
    <row r="129" spans="2:24" x14ac:dyDescent="0.25"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</row>
    <row r="130" spans="2:24" x14ac:dyDescent="0.25">
      <c r="B130" s="1" t="s">
        <v>94</v>
      </c>
      <c r="C130" s="1" t="s">
        <v>160</v>
      </c>
      <c r="D130" s="5"/>
      <c r="E130" s="5"/>
      <c r="F130" s="5"/>
      <c r="G130" s="4">
        <f>+G58</f>
        <v>0</v>
      </c>
      <c r="H130" s="4">
        <f t="shared" ref="H130:X130" si="98">+H58</f>
        <v>0</v>
      </c>
      <c r="I130" s="4">
        <f t="shared" si="98"/>
        <v>0</v>
      </c>
      <c r="J130" s="4">
        <f t="shared" si="98"/>
        <v>1</v>
      </c>
      <c r="K130" s="4">
        <f t="shared" si="98"/>
        <v>1</v>
      </c>
      <c r="L130" s="4">
        <f t="shared" si="98"/>
        <v>1</v>
      </c>
      <c r="M130" s="4">
        <f t="shared" si="98"/>
        <v>1</v>
      </c>
      <c r="N130" s="4">
        <f t="shared" si="98"/>
        <v>1</v>
      </c>
      <c r="O130" s="4">
        <f t="shared" si="98"/>
        <v>1</v>
      </c>
      <c r="P130" s="4">
        <f t="shared" si="98"/>
        <v>1</v>
      </c>
      <c r="Q130" s="4">
        <f t="shared" si="98"/>
        <v>1</v>
      </c>
      <c r="R130" s="4">
        <f t="shared" si="98"/>
        <v>1.5</v>
      </c>
      <c r="S130" s="4">
        <f t="shared" si="98"/>
        <v>1.5</v>
      </c>
      <c r="T130" s="4">
        <f t="shared" si="98"/>
        <v>1.5</v>
      </c>
      <c r="U130" s="4">
        <f t="shared" si="98"/>
        <v>1.5</v>
      </c>
      <c r="V130" s="4">
        <f t="shared" si="98"/>
        <v>1.6</v>
      </c>
      <c r="W130" s="4">
        <f t="shared" si="98"/>
        <v>1.6</v>
      </c>
      <c r="X130" s="4">
        <f t="shared" si="98"/>
        <v>1.6</v>
      </c>
    </row>
    <row r="131" spans="2:24" x14ac:dyDescent="0.25">
      <c r="B131" s="1" t="s">
        <v>95</v>
      </c>
      <c r="C131" s="1" t="s">
        <v>160</v>
      </c>
      <c r="D131" s="5"/>
      <c r="E131" s="5"/>
      <c r="F131" s="5"/>
      <c r="G131" s="4">
        <f>+G133-G130-G125</f>
        <v>28.4028125</v>
      </c>
      <c r="H131" s="4">
        <f t="shared" ref="H131:X131" si="99">+H133-H130-H125</f>
        <v>18.235911458333334</v>
      </c>
      <c r="I131" s="4">
        <f t="shared" si="99"/>
        <v>28.99223958333333</v>
      </c>
      <c r="J131" s="4">
        <f t="shared" si="99"/>
        <v>35.315416666666664</v>
      </c>
      <c r="K131" s="4">
        <f t="shared" si="99"/>
        <v>36.621614583333333</v>
      </c>
      <c r="L131" s="4">
        <f t="shared" si="99"/>
        <v>45.355963541666668</v>
      </c>
      <c r="M131" s="4">
        <f t="shared" si="99"/>
        <v>42.337890625</v>
      </c>
      <c r="N131" s="4">
        <f t="shared" si="99"/>
        <v>45.65958333333333</v>
      </c>
      <c r="O131" s="4">
        <f t="shared" si="99"/>
        <v>53.250911458333334</v>
      </c>
      <c r="P131" s="4">
        <f t="shared" si="99"/>
        <v>44.261223958333332</v>
      </c>
      <c r="Q131" s="4">
        <f t="shared" si="99"/>
        <v>42.274244791666668</v>
      </c>
      <c r="R131" s="4">
        <f t="shared" si="99"/>
        <v>23.920572916666664</v>
      </c>
      <c r="S131" s="4">
        <f t="shared" si="99"/>
        <v>27.175911458333331</v>
      </c>
      <c r="T131" s="4">
        <f t="shared" si="99"/>
        <v>38.649062499999999</v>
      </c>
      <c r="U131" s="4">
        <f t="shared" si="99"/>
        <v>41.070572916666663</v>
      </c>
      <c r="V131" s="4">
        <f t="shared" si="99"/>
        <v>37.301718749999992</v>
      </c>
      <c r="W131" s="4">
        <f t="shared" si="99"/>
        <v>54.399739583333343</v>
      </c>
      <c r="X131" s="4">
        <f t="shared" si="99"/>
        <v>52.226302083333337</v>
      </c>
    </row>
    <row r="132" spans="2:24" x14ac:dyDescent="0.25"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</row>
    <row r="133" spans="2:24" x14ac:dyDescent="0.25">
      <c r="B133" s="1" t="s">
        <v>96</v>
      </c>
      <c r="C133" s="1" t="s">
        <v>138</v>
      </c>
      <c r="D133" s="5"/>
      <c r="E133" s="5"/>
      <c r="F133" s="5"/>
      <c r="G133" s="4">
        <f>+G62</f>
        <v>36.5</v>
      </c>
      <c r="H133" s="4">
        <f t="shared" ref="H133:X133" si="100">+H62</f>
        <v>28.95</v>
      </c>
      <c r="I133" s="4">
        <f t="shared" si="100"/>
        <v>39</v>
      </c>
      <c r="J133" s="4">
        <f t="shared" si="100"/>
        <v>47</v>
      </c>
      <c r="K133" s="4">
        <f t="shared" si="100"/>
        <v>48.6</v>
      </c>
      <c r="L133" s="4">
        <f t="shared" si="100"/>
        <v>57.35</v>
      </c>
      <c r="M133" s="4">
        <f t="shared" si="100"/>
        <v>54</v>
      </c>
      <c r="N133" s="4">
        <f t="shared" si="100"/>
        <v>57.5</v>
      </c>
      <c r="O133" s="4">
        <f t="shared" si="100"/>
        <v>68</v>
      </c>
      <c r="P133" s="4">
        <f t="shared" si="100"/>
        <v>59.5</v>
      </c>
      <c r="Q133" s="4">
        <f t="shared" si="100"/>
        <v>57.5</v>
      </c>
      <c r="R133" s="4">
        <f t="shared" si="100"/>
        <v>42.4</v>
      </c>
      <c r="S133" s="4">
        <f t="shared" si="100"/>
        <v>47</v>
      </c>
      <c r="T133" s="4">
        <f t="shared" si="100"/>
        <v>57.45</v>
      </c>
      <c r="U133" s="4">
        <f t="shared" si="100"/>
        <v>59</v>
      </c>
      <c r="V133" s="4">
        <f t="shared" si="100"/>
        <v>55.4</v>
      </c>
      <c r="W133" s="4">
        <f t="shared" si="100"/>
        <v>73</v>
      </c>
      <c r="X133" s="4">
        <f t="shared" si="100"/>
        <v>70.8</v>
      </c>
    </row>
    <row r="135" spans="2:24" x14ac:dyDescent="0.25">
      <c r="B135" s="1" t="s">
        <v>53</v>
      </c>
      <c r="D135" s="2">
        <v>2009</v>
      </c>
      <c r="E135" s="2">
        <v>2010</v>
      </c>
      <c r="F135" s="2">
        <v>2011</v>
      </c>
      <c r="G135" s="2">
        <v>2012</v>
      </c>
      <c r="H135" s="2" t="s">
        <v>58</v>
      </c>
      <c r="I135" s="2" t="s">
        <v>60</v>
      </c>
      <c r="J135" s="2" t="s">
        <v>61</v>
      </c>
      <c r="K135" s="2" t="s">
        <v>59</v>
      </c>
    </row>
    <row r="137" spans="2:24" x14ac:dyDescent="0.25">
      <c r="C137" s="1" t="s">
        <v>54</v>
      </c>
      <c r="D137" s="3">
        <f>+H35</f>
        <v>166700</v>
      </c>
      <c r="E137" s="3">
        <f>+L35</f>
        <v>195708</v>
      </c>
      <c r="F137" s="3">
        <f>+P35</f>
        <v>184925</v>
      </c>
      <c r="G137" s="3">
        <f>+T35</f>
        <v>256605</v>
      </c>
      <c r="H137" s="3">
        <f>SUM(D137:G137)</f>
        <v>803938</v>
      </c>
      <c r="I137" s="3">
        <f>COUNT(D137:G137)</f>
        <v>4</v>
      </c>
      <c r="J137" s="3">
        <f>+H137/I137</f>
        <v>200984.5</v>
      </c>
      <c r="K137" s="21">
        <f>+J137/J142</f>
        <v>0.18950429804064786</v>
      </c>
    </row>
    <row r="138" spans="2:24" x14ac:dyDescent="0.25">
      <c r="C138" s="1" t="s">
        <v>55</v>
      </c>
      <c r="D138" s="3">
        <f>+I35</f>
        <v>255558</v>
      </c>
      <c r="E138" s="3">
        <f>+M35</f>
        <v>244556</v>
      </c>
      <c r="F138" s="3">
        <f>+Q35</f>
        <v>299332</v>
      </c>
      <c r="G138" s="3">
        <f>+U35</f>
        <v>326411</v>
      </c>
      <c r="H138" s="3">
        <f>SUM(D138:G138)</f>
        <v>1125857</v>
      </c>
      <c r="I138" s="3">
        <f>COUNT(D138:G138)</f>
        <v>4</v>
      </c>
      <c r="J138" s="3">
        <f>+H138/I138</f>
        <v>281464.25</v>
      </c>
      <c r="K138" s="21">
        <f>+J138/J142</f>
        <v>0.26538705780688271</v>
      </c>
    </row>
    <row r="139" spans="2:24" x14ac:dyDescent="0.25">
      <c r="C139" s="1" t="s">
        <v>56</v>
      </c>
      <c r="D139" s="3">
        <f>+J35</f>
        <v>229573</v>
      </c>
      <c r="E139" s="3">
        <f>+N35</f>
        <v>267917</v>
      </c>
      <c r="F139" s="3">
        <f>+R35</f>
        <v>242588</v>
      </c>
      <c r="G139" s="3">
        <f>+V35</f>
        <v>298621</v>
      </c>
      <c r="H139" s="3">
        <f>SUM(D139:G139)</f>
        <v>1038699</v>
      </c>
      <c r="I139" s="3">
        <f>COUNT(D139:G139)</f>
        <v>4</v>
      </c>
      <c r="J139" s="3">
        <f>+H139/I139</f>
        <v>259674.75</v>
      </c>
      <c r="K139" s="21">
        <f>+J139/J142</f>
        <v>0.24484217050384843</v>
      </c>
    </row>
    <row r="140" spans="2:24" x14ac:dyDescent="0.25">
      <c r="C140" s="1" t="s">
        <v>57</v>
      </c>
      <c r="D140" s="3">
        <f>+K35</f>
        <v>270577</v>
      </c>
      <c r="E140" s="3">
        <f>+O35</f>
        <v>320378</v>
      </c>
      <c r="F140" s="3">
        <f>+S35</f>
        <v>364415</v>
      </c>
      <c r="G140" s="3"/>
      <c r="H140" s="3">
        <f>SUM(D140:G140)</f>
        <v>955370</v>
      </c>
      <c r="I140" s="3">
        <f>COUNT(D140:G140)</f>
        <v>3</v>
      </c>
      <c r="J140" s="3">
        <f>+H140/I140</f>
        <v>318456.66666666669</v>
      </c>
      <c r="K140" s="21">
        <f>+J140/J142</f>
        <v>0.30026647364862091</v>
      </c>
    </row>
    <row r="141" spans="2:24" x14ac:dyDescent="0.25">
      <c r="K141" s="26"/>
    </row>
    <row r="142" spans="2:24" x14ac:dyDescent="0.25">
      <c r="C142" s="1" t="s">
        <v>58</v>
      </c>
      <c r="D142" s="3">
        <f>SUM(D137:D141)</f>
        <v>922408</v>
      </c>
      <c r="E142" s="3">
        <f>SUM(E137:E141)</f>
        <v>1028559</v>
      </c>
      <c r="F142" s="3">
        <f>SUM(F137:F141)</f>
        <v>1091260</v>
      </c>
      <c r="G142" s="3">
        <f>SUM(G137:G141)</f>
        <v>881637</v>
      </c>
      <c r="H142" s="3">
        <f>SUM(D142:G142)</f>
        <v>3923864</v>
      </c>
      <c r="I142" s="22"/>
      <c r="J142" s="3">
        <f>SUM(J137:J141)</f>
        <v>1060580.1666666667</v>
      </c>
      <c r="K142" s="21">
        <f>SUM(K137:K141)</f>
        <v>1</v>
      </c>
    </row>
    <row r="143" spans="2:24" x14ac:dyDescent="0.25">
      <c r="H143" s="3">
        <f>SUM(H137:H140)</f>
        <v>3923864</v>
      </c>
    </row>
    <row r="145" spans="2:11" x14ac:dyDescent="0.25">
      <c r="B145" s="1" t="s">
        <v>65</v>
      </c>
      <c r="D145" s="2">
        <v>2009</v>
      </c>
      <c r="E145" s="2">
        <v>2010</v>
      </c>
      <c r="F145" s="2">
        <v>2011</v>
      </c>
      <c r="G145" s="2">
        <v>2012</v>
      </c>
      <c r="H145" s="2" t="s">
        <v>58</v>
      </c>
      <c r="I145" s="2" t="s">
        <v>60</v>
      </c>
      <c r="J145" s="2" t="s">
        <v>61</v>
      </c>
      <c r="K145" s="2" t="s">
        <v>59</v>
      </c>
    </row>
    <row r="147" spans="2:11" x14ac:dyDescent="0.25">
      <c r="C147" s="1" t="s">
        <v>54</v>
      </c>
      <c r="D147" s="27">
        <f>+H63</f>
        <v>35.138709677419357</v>
      </c>
      <c r="E147" s="27">
        <f>+L63</f>
        <v>53.408064516129031</v>
      </c>
      <c r="F147" s="27">
        <f>+P63</f>
        <v>61.198412698412717</v>
      </c>
      <c r="G147" s="27">
        <f>+T63</f>
        <v>52.77031250000001</v>
      </c>
      <c r="H147" s="27">
        <f>SUM(D147:G147)</f>
        <v>202.51549939196113</v>
      </c>
      <c r="I147" s="3">
        <f>COUNT(D147:G147)</f>
        <v>4</v>
      </c>
      <c r="J147" s="3">
        <f>+H147/I147</f>
        <v>50.628874847990282</v>
      </c>
      <c r="K147" s="21">
        <f>+J147/J152</f>
        <v>0.24850077073637003</v>
      </c>
    </row>
    <row r="148" spans="2:11" x14ac:dyDescent="0.25">
      <c r="C148" s="1" t="s">
        <v>55</v>
      </c>
      <c r="D148" s="27">
        <f>+I63</f>
        <v>36.033442622950822</v>
      </c>
      <c r="E148" s="27">
        <f>+M63</f>
        <v>56.111290322580636</v>
      </c>
      <c r="F148" s="27">
        <f>+Q63</f>
        <v>58.971311475409813</v>
      </c>
      <c r="G148" s="27">
        <f>+U63</f>
        <v>55.988333333333323</v>
      </c>
      <c r="H148" s="27">
        <f>SUM(D148:G148)</f>
        <v>207.10437775427459</v>
      </c>
      <c r="I148" s="3">
        <f>COUNT(D148:G148)</f>
        <v>4</v>
      </c>
      <c r="J148" s="3">
        <f>+H148/I148</f>
        <v>51.776094438568649</v>
      </c>
      <c r="K148" s="21">
        <f>+J148/J152</f>
        <v>0.2541316474508642</v>
      </c>
    </row>
    <row r="149" spans="2:11" x14ac:dyDescent="0.25">
      <c r="C149" s="1" t="s">
        <v>56</v>
      </c>
      <c r="D149" s="27">
        <f>+J63</f>
        <v>44.177727272727282</v>
      </c>
      <c r="E149" s="27">
        <f>+N63</f>
        <v>55.11363636363636</v>
      </c>
      <c r="F149" s="27">
        <f>+R63</f>
        <v>46.975230769230784</v>
      </c>
      <c r="G149" s="27">
        <f>+V63</f>
        <v>56.75</v>
      </c>
      <c r="H149" s="27">
        <f>SUM(D149:G149)</f>
        <v>203.01659440559442</v>
      </c>
      <c r="I149" s="3">
        <f>COUNT(D149:G149)</f>
        <v>4</v>
      </c>
      <c r="J149" s="3">
        <f>+H149/I149</f>
        <v>50.754148601398605</v>
      </c>
      <c r="K149" s="21">
        <f>+J149/J152</f>
        <v>0.24911564958502058</v>
      </c>
    </row>
    <row r="150" spans="2:11" x14ac:dyDescent="0.25">
      <c r="C150" s="1" t="s">
        <v>57</v>
      </c>
      <c r="D150" s="27">
        <f>+K63</f>
        <v>45.165238095238088</v>
      </c>
      <c r="E150" s="27">
        <f>+O63</f>
        <v>62.723809523809543</v>
      </c>
      <c r="F150" s="27">
        <f>+S63</f>
        <v>43.845483870967755</v>
      </c>
      <c r="G150" s="27"/>
      <c r="H150" s="27">
        <f>SUM(D150:G150)</f>
        <v>151.7345314900154</v>
      </c>
      <c r="I150" s="3">
        <f>COUNT(D150:G150)</f>
        <v>3</v>
      </c>
      <c r="J150" s="3">
        <f>+H150/I150</f>
        <v>50.578177163338466</v>
      </c>
      <c r="K150" s="21">
        <f>+J150/J152</f>
        <v>0.24825193222774522</v>
      </c>
    </row>
    <row r="151" spans="2:11" x14ac:dyDescent="0.25">
      <c r="K151" s="26"/>
    </row>
    <row r="152" spans="2:11" x14ac:dyDescent="0.25">
      <c r="C152" s="1" t="s">
        <v>58</v>
      </c>
      <c r="D152" s="3">
        <f>SUM(D147:D151)</f>
        <v>160.51511766833556</v>
      </c>
      <c r="E152" s="3">
        <f>SUM(E147:E151)</f>
        <v>227.35680072615557</v>
      </c>
      <c r="F152" s="3">
        <f>SUM(F147:F151)</f>
        <v>210.99043881402105</v>
      </c>
      <c r="G152" s="3">
        <f>SUM(G147:G151)</f>
        <v>165.50864583333333</v>
      </c>
      <c r="H152" s="3">
        <f>SUM(D152:G152)</f>
        <v>764.37100304184537</v>
      </c>
      <c r="I152" s="22"/>
      <c r="J152" s="3">
        <f>SUM(J147:J151)</f>
        <v>203.737295051296</v>
      </c>
      <c r="K152" s="21">
        <f>SUM(K147:K151)</f>
        <v>1</v>
      </c>
    </row>
    <row r="153" spans="2:11" x14ac:dyDescent="0.25">
      <c r="H153" s="3">
        <f>SUM(H147:H150)</f>
        <v>764.3710030418456</v>
      </c>
    </row>
    <row r="155" spans="2:11" ht="30" x14ac:dyDescent="0.25">
      <c r="B155" s="13" t="s">
        <v>146</v>
      </c>
      <c r="D155" s="2">
        <v>2009</v>
      </c>
      <c r="E155" s="2">
        <v>2010</v>
      </c>
      <c r="F155" s="2">
        <v>2011</v>
      </c>
      <c r="G155" s="2">
        <v>2012</v>
      </c>
      <c r="H155" s="2" t="s">
        <v>58</v>
      </c>
      <c r="I155" s="2" t="s">
        <v>60</v>
      </c>
      <c r="J155" s="2" t="s">
        <v>61</v>
      </c>
      <c r="K155" s="2" t="s">
        <v>59</v>
      </c>
    </row>
    <row r="157" spans="2:11" x14ac:dyDescent="0.25">
      <c r="C157" s="1" t="s">
        <v>54</v>
      </c>
      <c r="D157" s="3">
        <f>+H36</f>
        <v>159207</v>
      </c>
      <c r="E157" s="3">
        <f>+L36</f>
        <v>186536</v>
      </c>
      <c r="F157" s="3">
        <f>+P36</f>
        <v>186832</v>
      </c>
      <c r="G157" s="3">
        <f>+T36</f>
        <v>251740</v>
      </c>
      <c r="H157" s="3">
        <f>SUM(D157:G157)</f>
        <v>784315</v>
      </c>
      <c r="I157" s="3">
        <f>COUNT(D157:G157)</f>
        <v>4</v>
      </c>
      <c r="J157" s="3">
        <f>+H157/I157</f>
        <v>196078.75</v>
      </c>
      <c r="K157" s="21">
        <f>+J157/J162</f>
        <v>0.21175138780045913</v>
      </c>
    </row>
    <row r="158" spans="2:11" x14ac:dyDescent="0.25">
      <c r="C158" s="1" t="s">
        <v>55</v>
      </c>
      <c r="D158" s="3">
        <f>+I36</f>
        <v>216313</v>
      </c>
      <c r="E158" s="3">
        <f>+M36</f>
        <v>205903</v>
      </c>
      <c r="F158" s="3">
        <f>+Q36</f>
        <v>241864</v>
      </c>
      <c r="G158" s="3">
        <f>+U36</f>
        <v>272323</v>
      </c>
      <c r="H158" s="3">
        <f>SUM(D158:G158)</f>
        <v>936403</v>
      </c>
      <c r="I158" s="3">
        <f>COUNT(D158:G158)</f>
        <v>4</v>
      </c>
      <c r="J158" s="3">
        <f>+H158/I158</f>
        <v>234100.75</v>
      </c>
      <c r="K158" s="21">
        <f>+J158/J162</f>
        <v>0.25281249853759435</v>
      </c>
    </row>
    <row r="159" spans="2:11" x14ac:dyDescent="0.25">
      <c r="C159" s="1" t="s">
        <v>56</v>
      </c>
      <c r="D159" s="3">
        <f>+J36</f>
        <v>213990</v>
      </c>
      <c r="E159" s="3">
        <f>+N36</f>
        <v>236680</v>
      </c>
      <c r="F159" s="3">
        <f>+R36</f>
        <v>219707</v>
      </c>
      <c r="G159" s="3">
        <f>+V36</f>
        <v>274361</v>
      </c>
      <c r="H159" s="3">
        <f>SUM(D159:G159)</f>
        <v>944738</v>
      </c>
      <c r="I159" s="3">
        <f>COUNT(D159:G159)</f>
        <v>4</v>
      </c>
      <c r="J159" s="3">
        <f>+H159/I159</f>
        <v>236184.5</v>
      </c>
      <c r="K159" s="21">
        <f>+J159/J162</f>
        <v>0.25506280334792802</v>
      </c>
    </row>
    <row r="160" spans="2:11" x14ac:dyDescent="0.25">
      <c r="C160" s="1" t="s">
        <v>57</v>
      </c>
      <c r="D160" s="3">
        <f>+K36</f>
        <v>224739</v>
      </c>
      <c r="E160" s="3">
        <f>+O36</f>
        <v>270321</v>
      </c>
      <c r="F160" s="3">
        <f>+S36</f>
        <v>283805</v>
      </c>
      <c r="G160" s="3"/>
      <c r="H160" s="3">
        <f>SUM(D160:G160)</f>
        <v>778865</v>
      </c>
      <c r="I160" s="3">
        <f>COUNT(D160:G160)</f>
        <v>3</v>
      </c>
      <c r="J160" s="3">
        <f>+H160/I160</f>
        <v>259621.66666666666</v>
      </c>
      <c r="K160" s="21">
        <f>+J160/J162</f>
        <v>0.28037331031401852</v>
      </c>
    </row>
    <row r="161" spans="2:11" x14ac:dyDescent="0.25">
      <c r="K161" s="26"/>
    </row>
    <row r="162" spans="2:11" x14ac:dyDescent="0.25">
      <c r="C162" s="1" t="s">
        <v>58</v>
      </c>
      <c r="D162" s="3">
        <f>SUM(D157:D161)</f>
        <v>814249</v>
      </c>
      <c r="E162" s="3">
        <f>SUM(E157:E161)</f>
        <v>899440</v>
      </c>
      <c r="F162" s="3">
        <f>SUM(F157:F161)</f>
        <v>932208</v>
      </c>
      <c r="G162" s="3">
        <f>SUM(G157:G161)</f>
        <v>798424</v>
      </c>
      <c r="H162" s="3">
        <f>SUM(D162:G162)</f>
        <v>3444321</v>
      </c>
      <c r="I162" s="22"/>
      <c r="J162" s="3">
        <f>SUM(J157:J161)</f>
        <v>925985.66666666663</v>
      </c>
      <c r="K162" s="21">
        <f>SUM(K157:K161)</f>
        <v>1</v>
      </c>
    </row>
    <row r="163" spans="2:11" x14ac:dyDescent="0.25">
      <c r="H163" s="3">
        <f>SUM(H157:H160)</f>
        <v>3444321</v>
      </c>
    </row>
    <row r="165" spans="2:11" x14ac:dyDescent="0.25">
      <c r="B165" s="1" t="s">
        <v>153</v>
      </c>
      <c r="D165" s="2">
        <v>2009</v>
      </c>
      <c r="E165" s="2">
        <v>2010</v>
      </c>
      <c r="F165" s="2">
        <v>2011</v>
      </c>
      <c r="G165" s="2">
        <v>2012</v>
      </c>
      <c r="H165" s="2" t="s">
        <v>58</v>
      </c>
      <c r="I165" s="2" t="s">
        <v>60</v>
      </c>
      <c r="J165" s="2" t="s">
        <v>61</v>
      </c>
      <c r="K165" s="2" t="s">
        <v>59</v>
      </c>
    </row>
    <row r="167" spans="2:11" x14ac:dyDescent="0.25">
      <c r="C167" s="1" t="s">
        <v>54</v>
      </c>
      <c r="D167" s="3">
        <f>+H38</f>
        <v>-2791</v>
      </c>
      <c r="E167" s="3">
        <f>+L38</f>
        <v>-1973</v>
      </c>
      <c r="F167" s="3">
        <f>+P38</f>
        <v>-1767</v>
      </c>
      <c r="G167" s="3">
        <f>+T38</f>
        <v>-270</v>
      </c>
      <c r="H167" s="3">
        <f>SUM(D167:G167)</f>
        <v>-6801</v>
      </c>
      <c r="I167" s="3">
        <f>COUNT(D167:G167)</f>
        <v>4</v>
      </c>
      <c r="J167" s="3">
        <f>+H167/I167</f>
        <v>-1700.25</v>
      </c>
      <c r="K167" s="21">
        <f>+J167/J172</f>
        <v>0.19251927268609817</v>
      </c>
    </row>
    <row r="168" spans="2:11" x14ac:dyDescent="0.25">
      <c r="C168" s="1" t="s">
        <v>55</v>
      </c>
      <c r="D168" s="3">
        <f>+I38</f>
        <v>-1369</v>
      </c>
      <c r="E168" s="3">
        <f>+M38</f>
        <v>-2403</v>
      </c>
      <c r="F168" s="3">
        <f>+Q38</f>
        <v>-1968</v>
      </c>
      <c r="G168" s="3">
        <f>+U38</f>
        <v>-6910</v>
      </c>
      <c r="H168" s="3">
        <f>SUM(D168:G168)</f>
        <v>-12650</v>
      </c>
      <c r="I168" s="3">
        <f>COUNT(D168:G168)</f>
        <v>4</v>
      </c>
      <c r="J168" s="3">
        <f>+H168/I168</f>
        <v>-3162.5</v>
      </c>
      <c r="K168" s="21">
        <f>+J168/J172</f>
        <v>0.35808981024542597</v>
      </c>
    </row>
    <row r="169" spans="2:11" x14ac:dyDescent="0.25">
      <c r="C169" s="1" t="s">
        <v>56</v>
      </c>
      <c r="D169" s="3">
        <f>+J38</f>
        <v>-2244</v>
      </c>
      <c r="E169" s="3">
        <f>+N38</f>
        <v>-1712</v>
      </c>
      <c r="F169" s="3">
        <f>+R38</f>
        <v>-1669</v>
      </c>
      <c r="G169" s="3">
        <f>+V38</f>
        <v>-3885</v>
      </c>
      <c r="H169" s="3">
        <f>SUM(D169:G169)</f>
        <v>-9510</v>
      </c>
      <c r="I169" s="3">
        <f>COUNT(D169:G169)</f>
        <v>4</v>
      </c>
      <c r="J169" s="3">
        <f>+H169/I169</f>
        <v>-2377.5</v>
      </c>
      <c r="K169" s="21">
        <f>+J169/J172</f>
        <v>0.26920427631889332</v>
      </c>
    </row>
    <row r="170" spans="2:11" x14ac:dyDescent="0.25">
      <c r="C170" s="1" t="s">
        <v>57</v>
      </c>
      <c r="D170" s="3">
        <f>+K38</f>
        <v>-2078</v>
      </c>
      <c r="E170" s="3">
        <f>+O38</f>
        <v>-422</v>
      </c>
      <c r="F170" s="3">
        <f>+S38</f>
        <v>-2274</v>
      </c>
      <c r="G170" s="3"/>
      <c r="H170" s="3">
        <f>SUM(D170:G170)</f>
        <v>-4774</v>
      </c>
      <c r="I170" s="3">
        <f>COUNT(D170:G170)</f>
        <v>3</v>
      </c>
      <c r="J170" s="3">
        <f>+H170/I170</f>
        <v>-1591.3333333333333</v>
      </c>
      <c r="K170" s="21">
        <f>+J170/J172</f>
        <v>0.18018664074958243</v>
      </c>
    </row>
    <row r="171" spans="2:11" x14ac:dyDescent="0.25">
      <c r="K171" s="26"/>
    </row>
    <row r="172" spans="2:11" x14ac:dyDescent="0.25">
      <c r="C172" s="1" t="s">
        <v>58</v>
      </c>
      <c r="D172" s="3">
        <f>SUM(D167:D171)</f>
        <v>-8482</v>
      </c>
      <c r="E172" s="3">
        <f>SUM(E167:E171)</f>
        <v>-6510</v>
      </c>
      <c r="F172" s="3">
        <f>SUM(F167:F171)</f>
        <v>-7678</v>
      </c>
      <c r="G172" s="3">
        <f>SUM(G167:G171)</f>
        <v>-11065</v>
      </c>
      <c r="H172" s="3">
        <f>SUM(D172:G172)</f>
        <v>-33735</v>
      </c>
      <c r="I172" s="22"/>
      <c r="J172" s="3">
        <f>SUM(J167:J171)</f>
        <v>-8831.5833333333339</v>
      </c>
      <c r="K172" s="21">
        <f>SUM(K167:K171)</f>
        <v>0.99999999999999989</v>
      </c>
    </row>
    <row r="173" spans="2:11" x14ac:dyDescent="0.25">
      <c r="H173" s="3">
        <f>SUM(H167:H170)</f>
        <v>-33735</v>
      </c>
    </row>
    <row r="175" spans="2:11" x14ac:dyDescent="0.25">
      <c r="B175" s="1" t="s">
        <v>154</v>
      </c>
      <c r="D175" s="2">
        <v>2009</v>
      </c>
      <c r="E175" s="2">
        <v>2010</v>
      </c>
      <c r="F175" s="2">
        <v>2011</v>
      </c>
      <c r="G175" s="2">
        <v>2012</v>
      </c>
      <c r="H175" s="2" t="s">
        <v>58</v>
      </c>
      <c r="I175" s="2" t="s">
        <v>60</v>
      </c>
      <c r="J175" s="2" t="s">
        <v>61</v>
      </c>
      <c r="K175" s="2" t="s">
        <v>59</v>
      </c>
    </row>
    <row r="177" spans="2:11" x14ac:dyDescent="0.25">
      <c r="C177" s="1" t="s">
        <v>54</v>
      </c>
      <c r="D177" s="3">
        <f>+H40</f>
        <v>101</v>
      </c>
      <c r="E177" s="3">
        <f>+L40</f>
        <v>2109</v>
      </c>
      <c r="F177" s="3">
        <f>+P40</f>
        <v>2560</v>
      </c>
      <c r="G177" s="3">
        <f>+T40</f>
        <v>1917</v>
      </c>
      <c r="H177" s="3">
        <f>SUM(D177:G177)</f>
        <v>6687</v>
      </c>
      <c r="I177" s="3">
        <f>COUNT(D177:G177)</f>
        <v>4</v>
      </c>
      <c r="J177" s="3">
        <f>+H177/I177</f>
        <v>1671.75</v>
      </c>
      <c r="K177" s="21">
        <f>+J177/J182</f>
        <v>0.1534325572857711</v>
      </c>
    </row>
    <row r="178" spans="2:11" x14ac:dyDescent="0.25">
      <c r="C178" s="1" t="s">
        <v>55</v>
      </c>
      <c r="D178" s="3">
        <f>+I40</f>
        <v>6990</v>
      </c>
      <c r="E178" s="3">
        <f>+M40</f>
        <v>-11446</v>
      </c>
      <c r="F178" s="3">
        <f>+Q40</f>
        <v>7583</v>
      </c>
      <c r="G178" s="3">
        <f>+U40</f>
        <v>4403</v>
      </c>
      <c r="H178" s="3">
        <f>SUM(D178:G178)</f>
        <v>7530</v>
      </c>
      <c r="I178" s="3">
        <f>COUNT(D178:G178)</f>
        <v>4</v>
      </c>
      <c r="J178" s="3">
        <f>+H178/I178</f>
        <v>1882.5</v>
      </c>
      <c r="K178" s="21">
        <f>+J178/J182</f>
        <v>0.17277510937069784</v>
      </c>
    </row>
    <row r="179" spans="2:11" x14ac:dyDescent="0.25">
      <c r="C179" s="1" t="s">
        <v>56</v>
      </c>
      <c r="D179" s="3">
        <f>+J40</f>
        <v>2272</v>
      </c>
      <c r="E179" s="3">
        <f>+N40</f>
        <v>5510</v>
      </c>
      <c r="F179" s="3">
        <f>+R40</f>
        <v>4113</v>
      </c>
      <c r="G179" s="3">
        <f>+V40</f>
        <v>-22040</v>
      </c>
      <c r="H179" s="3">
        <f>SUM(D179:G179)</f>
        <v>-10145</v>
      </c>
      <c r="I179" s="3">
        <f>COUNT(D179:G179)</f>
        <v>4</v>
      </c>
      <c r="J179" s="3">
        <f>+H179/I179</f>
        <v>-2536.25</v>
      </c>
      <c r="K179" s="21">
        <f>+J179/J182</f>
        <v>-0.23277602716676357</v>
      </c>
    </row>
    <row r="180" spans="2:11" x14ac:dyDescent="0.25">
      <c r="C180" s="1" t="s">
        <v>57</v>
      </c>
      <c r="D180" s="3">
        <f>+K40</f>
        <v>6711</v>
      </c>
      <c r="E180" s="3">
        <f>+O40</f>
        <v>8580</v>
      </c>
      <c r="F180" s="3">
        <f>+S40</f>
        <v>14342</v>
      </c>
      <c r="G180" s="3"/>
      <c r="H180" s="3">
        <f>SUM(D180:G180)</f>
        <v>29633</v>
      </c>
      <c r="I180" s="3">
        <f>COUNT(D180:G180)</f>
        <v>3</v>
      </c>
      <c r="J180" s="3">
        <f>+H180/I180</f>
        <v>9877.6666666666661</v>
      </c>
      <c r="K180" s="21">
        <f>+J180/J182</f>
        <v>0.90656836051029466</v>
      </c>
    </row>
    <row r="181" spans="2:11" x14ac:dyDescent="0.25">
      <c r="K181" s="26"/>
    </row>
    <row r="182" spans="2:11" x14ac:dyDescent="0.25">
      <c r="C182" s="1" t="s">
        <v>58</v>
      </c>
      <c r="D182" s="3">
        <f>SUM(D177:D181)</f>
        <v>16074</v>
      </c>
      <c r="E182" s="3">
        <f>SUM(E177:E181)</f>
        <v>4753</v>
      </c>
      <c r="F182" s="3">
        <f>SUM(F177:F181)</f>
        <v>28598</v>
      </c>
      <c r="G182" s="3">
        <f>SUM(G177:G181)</f>
        <v>-15720</v>
      </c>
      <c r="H182" s="3">
        <f>SUM(D182:G182)</f>
        <v>33705</v>
      </c>
      <c r="I182" s="22"/>
      <c r="J182" s="3">
        <f>SUM(J177:J181)</f>
        <v>10895.666666666666</v>
      </c>
      <c r="K182" s="21">
        <f>SUM(K177:K181)</f>
        <v>1</v>
      </c>
    </row>
    <row r="183" spans="2:11" x14ac:dyDescent="0.25">
      <c r="H183" s="3">
        <f>SUM(H177:H180)</f>
        <v>33705</v>
      </c>
    </row>
    <row r="185" spans="2:11" x14ac:dyDescent="0.25">
      <c r="B185" s="30" t="s">
        <v>98</v>
      </c>
      <c r="C185" s="30" t="s">
        <v>112</v>
      </c>
      <c r="D185" s="30" t="s">
        <v>113</v>
      </c>
      <c r="E185" s="30" t="s">
        <v>130</v>
      </c>
      <c r="F185" s="30" t="s">
        <v>114</v>
      </c>
      <c r="G185" s="30" t="s">
        <v>115</v>
      </c>
      <c r="H185" s="30" t="s">
        <v>116</v>
      </c>
    </row>
    <row r="187" spans="2:11" x14ac:dyDescent="0.25">
      <c r="B187" s="1" t="s">
        <v>99</v>
      </c>
      <c r="C187" s="1">
        <v>31</v>
      </c>
      <c r="D187" s="1">
        <f>+C187</f>
        <v>31</v>
      </c>
      <c r="E187" s="1">
        <f>+C187</f>
        <v>31</v>
      </c>
      <c r="F187" s="1"/>
      <c r="G187" s="1"/>
      <c r="H187" s="1"/>
    </row>
    <row r="188" spans="2:11" x14ac:dyDescent="0.25">
      <c r="B188" s="1" t="s">
        <v>100</v>
      </c>
      <c r="C188" s="1">
        <v>28</v>
      </c>
      <c r="D188" s="1">
        <f>+C188</f>
        <v>28</v>
      </c>
      <c r="E188" s="1"/>
      <c r="F188" s="1"/>
      <c r="G188" s="1"/>
      <c r="H188" s="1"/>
    </row>
    <row r="189" spans="2:11" x14ac:dyDescent="0.25">
      <c r="B189" s="1" t="s">
        <v>101</v>
      </c>
      <c r="C189" s="1">
        <v>29</v>
      </c>
      <c r="D189" s="1"/>
      <c r="E189" s="1">
        <f>+C189</f>
        <v>29</v>
      </c>
      <c r="F189" s="1"/>
      <c r="G189" s="1"/>
      <c r="H189" s="1"/>
    </row>
    <row r="190" spans="2:11" x14ac:dyDescent="0.25">
      <c r="B190" s="1" t="s">
        <v>102</v>
      </c>
      <c r="C190" s="1">
        <v>31</v>
      </c>
      <c r="D190" s="1">
        <f>+C190</f>
        <v>31</v>
      </c>
      <c r="E190" s="1">
        <f>+C190</f>
        <v>31</v>
      </c>
      <c r="F190" s="1"/>
      <c r="G190" s="1"/>
      <c r="H190" s="1"/>
    </row>
    <row r="191" spans="2:11" x14ac:dyDescent="0.25">
      <c r="B191" s="1" t="s">
        <v>103</v>
      </c>
      <c r="C191" s="1">
        <v>30</v>
      </c>
      <c r="D191" s="1"/>
      <c r="E191" s="1"/>
      <c r="F191" s="1">
        <f>+C191</f>
        <v>30</v>
      </c>
      <c r="G191" s="1"/>
      <c r="H191" s="1"/>
    </row>
    <row r="192" spans="2:11" x14ac:dyDescent="0.25">
      <c r="B192" s="1" t="s">
        <v>104</v>
      </c>
      <c r="C192" s="1">
        <v>31</v>
      </c>
      <c r="D192" s="1"/>
      <c r="E192" s="1"/>
      <c r="F192" s="1">
        <f>+C192</f>
        <v>31</v>
      </c>
      <c r="G192" s="1"/>
      <c r="H192" s="1"/>
    </row>
    <row r="193" spans="2:9" x14ac:dyDescent="0.25">
      <c r="B193" s="1" t="s">
        <v>105</v>
      </c>
      <c r="C193" s="1">
        <v>30</v>
      </c>
      <c r="D193" s="1"/>
      <c r="E193" s="1"/>
      <c r="F193" s="1">
        <f>+C193</f>
        <v>30</v>
      </c>
      <c r="G193" s="1"/>
      <c r="H193" s="1"/>
    </row>
    <row r="194" spans="2:9" x14ac:dyDescent="0.25">
      <c r="B194" s="1" t="s">
        <v>106</v>
      </c>
      <c r="C194" s="1">
        <v>31</v>
      </c>
      <c r="D194" s="1"/>
      <c r="E194" s="1"/>
      <c r="F194" s="1"/>
      <c r="G194" s="1">
        <f>+C194</f>
        <v>31</v>
      </c>
      <c r="H194" s="1"/>
    </row>
    <row r="195" spans="2:9" x14ac:dyDescent="0.25">
      <c r="B195" s="1" t="s">
        <v>107</v>
      </c>
      <c r="C195" s="1">
        <v>31</v>
      </c>
      <c r="D195" s="1"/>
      <c r="E195" s="1"/>
      <c r="F195" s="1"/>
      <c r="G195" s="1">
        <f>+C195</f>
        <v>31</v>
      </c>
      <c r="H195" s="1"/>
    </row>
    <row r="196" spans="2:9" x14ac:dyDescent="0.25">
      <c r="B196" s="1" t="s">
        <v>108</v>
      </c>
      <c r="C196" s="1">
        <v>30</v>
      </c>
      <c r="D196" s="1"/>
      <c r="E196" s="1"/>
      <c r="F196" s="1"/>
      <c r="G196" s="1">
        <f>+C196</f>
        <v>30</v>
      </c>
      <c r="H196" s="1"/>
    </row>
    <row r="197" spans="2:9" x14ac:dyDescent="0.25">
      <c r="B197" s="1" t="s">
        <v>109</v>
      </c>
      <c r="C197" s="1">
        <v>31</v>
      </c>
      <c r="D197" s="1"/>
      <c r="E197" s="1"/>
      <c r="F197" s="1"/>
      <c r="G197" s="1"/>
      <c r="H197" s="1">
        <f>+C197</f>
        <v>31</v>
      </c>
    </row>
    <row r="198" spans="2:9" x14ac:dyDescent="0.25">
      <c r="B198" s="1" t="s">
        <v>110</v>
      </c>
      <c r="C198" s="1">
        <v>30</v>
      </c>
      <c r="D198" s="1"/>
      <c r="E198" s="1"/>
      <c r="F198" s="1"/>
      <c r="G198" s="1"/>
      <c r="H198" s="1">
        <f>+C198</f>
        <v>30</v>
      </c>
    </row>
    <row r="199" spans="2:9" x14ac:dyDescent="0.25">
      <c r="B199" s="1" t="s">
        <v>111</v>
      </c>
      <c r="C199" s="1">
        <v>31</v>
      </c>
      <c r="D199" s="1"/>
      <c r="E199" s="1"/>
      <c r="F199" s="1"/>
      <c r="G199" s="1"/>
      <c r="H199" s="1">
        <f>+C199</f>
        <v>31</v>
      </c>
    </row>
    <row r="201" spans="2:9" x14ac:dyDescent="0.25">
      <c r="D201" s="1">
        <f>SUM(D187:D199)</f>
        <v>90</v>
      </c>
      <c r="E201" s="1">
        <f t="shared" ref="E201:H201" si="101">SUM(E187:E199)</f>
        <v>91</v>
      </c>
      <c r="F201" s="1">
        <f t="shared" si="101"/>
        <v>91</v>
      </c>
      <c r="G201" s="1">
        <f t="shared" si="101"/>
        <v>92</v>
      </c>
      <c r="H201" s="1">
        <f t="shared" si="101"/>
        <v>92</v>
      </c>
    </row>
    <row r="203" spans="2:9" ht="30" x14ac:dyDescent="0.25">
      <c r="C203" s="37" t="s">
        <v>117</v>
      </c>
      <c r="D203" s="37" t="s">
        <v>121</v>
      </c>
      <c r="E203" s="37" t="s">
        <v>118</v>
      </c>
      <c r="F203" s="37" t="s">
        <v>119</v>
      </c>
      <c r="G203" s="37" t="s">
        <v>120</v>
      </c>
      <c r="H203" s="37" t="s">
        <v>122</v>
      </c>
    </row>
    <row r="205" spans="2:9" x14ac:dyDescent="0.25">
      <c r="C205" s="1">
        <f>+D201+F201</f>
        <v>181</v>
      </c>
      <c r="D205" s="1">
        <f>+E201+F201</f>
        <v>182</v>
      </c>
      <c r="E205" s="1">
        <f>+F201+G201</f>
        <v>183</v>
      </c>
      <c r="F205" s="1">
        <f>+G201+H201</f>
        <v>184</v>
      </c>
      <c r="G205" s="1">
        <f>+H201+D201</f>
        <v>182</v>
      </c>
      <c r="H205" s="1">
        <f>+H201+E201</f>
        <v>183</v>
      </c>
    </row>
    <row r="207" spans="2:9" ht="30" x14ac:dyDescent="0.25">
      <c r="C207" s="37" t="s">
        <v>123</v>
      </c>
      <c r="D207" s="37" t="s">
        <v>124</v>
      </c>
      <c r="E207" s="37" t="s">
        <v>125</v>
      </c>
      <c r="F207" s="37" t="s">
        <v>126</v>
      </c>
      <c r="G207" s="37" t="s">
        <v>129</v>
      </c>
      <c r="H207" s="37" t="s">
        <v>127</v>
      </c>
      <c r="I207" s="35"/>
    </row>
    <row r="209" spans="3:8" x14ac:dyDescent="0.25">
      <c r="C209" s="1">
        <f>+D201+F201+G201</f>
        <v>273</v>
      </c>
      <c r="D209" s="1">
        <f>+E201+F201+G201</f>
        <v>274</v>
      </c>
      <c r="E209" s="1">
        <f>+F201+G201+H201</f>
        <v>275</v>
      </c>
      <c r="F209" s="1">
        <f>+G201+H201+D201</f>
        <v>274</v>
      </c>
      <c r="G209" s="1">
        <f>+G201+H201+E201</f>
        <v>275</v>
      </c>
      <c r="H209" s="1">
        <f>+H201+D201+F201</f>
        <v>273</v>
      </c>
    </row>
    <row r="211" spans="3:8" ht="45" x14ac:dyDescent="0.25">
      <c r="C211" s="37" t="s">
        <v>128</v>
      </c>
      <c r="D211" s="12" t="s">
        <v>131</v>
      </c>
      <c r="E211" s="12" t="s">
        <v>132</v>
      </c>
      <c r="F211" s="36"/>
    </row>
    <row r="213" spans="3:8" x14ac:dyDescent="0.25">
      <c r="C213" s="1">
        <f>+H201+E201+F201</f>
        <v>274</v>
      </c>
      <c r="D213" s="1">
        <f>+D201+F201+G201+H201</f>
        <v>365</v>
      </c>
      <c r="E213" s="1">
        <f>+E201+F201+G201+H201</f>
        <v>366</v>
      </c>
    </row>
  </sheetData>
  <pageMargins left="0.7" right="0.7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0"/>
  <sheetViews>
    <sheetView tabSelected="1" workbookViewId="0">
      <selection activeCell="O15" sqref="O15"/>
    </sheetView>
  </sheetViews>
  <sheetFormatPr defaultRowHeight="15" x14ac:dyDescent="0.25"/>
  <cols>
    <col min="1" max="1" width="4.28515625" customWidth="1"/>
    <col min="2" max="2" width="35" customWidth="1"/>
  </cols>
  <sheetData>
    <row r="2" spans="2:20" x14ac:dyDescent="0.25">
      <c r="B2" s="1" t="s">
        <v>66</v>
      </c>
      <c r="C2" s="54" t="s">
        <v>144</v>
      </c>
      <c r="D2" s="54" t="s">
        <v>26</v>
      </c>
      <c r="E2" s="54" t="s">
        <v>32</v>
      </c>
      <c r="F2" s="54" t="s">
        <v>33</v>
      </c>
      <c r="G2" s="54" t="s">
        <v>34</v>
      </c>
      <c r="H2" s="54" t="s">
        <v>35</v>
      </c>
      <c r="I2" s="54" t="s">
        <v>36</v>
      </c>
      <c r="J2" s="54" t="s">
        <v>37</v>
      </c>
      <c r="K2" s="54" t="s">
        <v>38</v>
      </c>
      <c r="L2" s="54" t="s">
        <v>39</v>
      </c>
      <c r="M2" s="54" t="s">
        <v>40</v>
      </c>
      <c r="N2" s="54" t="s">
        <v>41</v>
      </c>
      <c r="O2" s="54" t="s">
        <v>42</v>
      </c>
      <c r="P2" s="54" t="s">
        <v>43</v>
      </c>
      <c r="Q2" s="54" t="s">
        <v>44</v>
      </c>
      <c r="R2" s="54" t="s">
        <v>45</v>
      </c>
      <c r="S2" s="54" t="s">
        <v>46</v>
      </c>
      <c r="T2" s="54" t="s">
        <v>47</v>
      </c>
    </row>
    <row r="3" spans="2:20" x14ac:dyDescent="0.25">
      <c r="B3" s="1" t="s">
        <v>48</v>
      </c>
      <c r="C3" s="58">
        <f>+CCC!G102</f>
        <v>7.7132812499999996</v>
      </c>
      <c r="D3" s="58">
        <f>+CCC!H102</f>
        <v>7.7872656249999999</v>
      </c>
      <c r="E3" s="58">
        <f>+CCC!I102</f>
        <v>7.604739583333334</v>
      </c>
      <c r="F3" s="58">
        <f>+CCC!J102</f>
        <v>7.8926302083333342</v>
      </c>
      <c r="G3" s="58">
        <f>+CCC!K102</f>
        <v>8.8596093749999998</v>
      </c>
      <c r="H3" s="58">
        <f>+CCC!L102</f>
        <v>8.9932552083333341</v>
      </c>
      <c r="I3" s="58">
        <f>+CCC!M102</f>
        <v>9.3323177083333331</v>
      </c>
      <c r="J3" s="58">
        <f>+CCC!N102</f>
        <v>9.8970052083333346</v>
      </c>
      <c r="K3" s="58">
        <f>+CCC!O102</f>
        <v>11.011666666666668</v>
      </c>
      <c r="L3" s="58">
        <f>+CCC!P102</f>
        <v>10.894348958333333</v>
      </c>
      <c r="M3" s="58">
        <f>+CCC!Q102</f>
        <v>10.689609375</v>
      </c>
      <c r="N3" s="58">
        <f>+CCC!R102</f>
        <v>11.209375</v>
      </c>
      <c r="O3" s="58">
        <f>+CCC!S102</f>
        <v>12.892838541666668</v>
      </c>
      <c r="P3" s="58">
        <f>+CCC!T102</f>
        <v>12.984140625</v>
      </c>
      <c r="Q3" s="4">
        <f>+CCC!U102</f>
        <v>12.20546875</v>
      </c>
      <c r="R3" s="4">
        <f>+CCC!V102</f>
        <v>12.646666666666668</v>
      </c>
      <c r="S3" s="4">
        <f>+CCC!W102</f>
        <v>13.768515624999999</v>
      </c>
      <c r="T3" s="4">
        <f>+CCC!X102</f>
        <v>12.714244791666667</v>
      </c>
    </row>
    <row r="4" spans="2:20" x14ac:dyDescent="0.25">
      <c r="B4" s="1" t="s">
        <v>148</v>
      </c>
      <c r="C4" s="58">
        <f>-CCC!G126</f>
        <v>0.38390625</v>
      </c>
      <c r="D4" s="58">
        <f>-CCC!H126</f>
        <v>2.9268229166666671</v>
      </c>
      <c r="E4" s="58">
        <f>-CCC!I126</f>
        <v>2.4030208333333336</v>
      </c>
      <c r="F4" s="58">
        <f>-CCC!J126</f>
        <v>2.791953125</v>
      </c>
      <c r="G4" s="58">
        <f>-CCC!K126</f>
        <v>2.118776041666667</v>
      </c>
      <c r="H4" s="58">
        <f>-CCC!L126</f>
        <v>2.0007812500000002</v>
      </c>
      <c r="I4" s="58">
        <f>-CCC!M126</f>
        <v>1.3297916666666667</v>
      </c>
      <c r="J4" s="58">
        <f>-CCC!N126</f>
        <v>0.9434114583333334</v>
      </c>
      <c r="K4" s="58">
        <f>-CCC!O126</f>
        <v>2.7374218749999999</v>
      </c>
      <c r="L4" s="58">
        <f>-CCC!P126</f>
        <v>3.3444270833333336</v>
      </c>
      <c r="M4" s="58">
        <f>-CCC!Q126</f>
        <v>3.5361458333333333</v>
      </c>
      <c r="N4" s="58">
        <f>-CCC!R126</f>
        <v>5.7700520833333337</v>
      </c>
      <c r="O4" s="58">
        <f>-CCC!S126</f>
        <v>5.4312500000000004</v>
      </c>
      <c r="P4" s="58">
        <f>-CCC!T126</f>
        <v>4.3167968749999996</v>
      </c>
      <c r="Q4" s="4">
        <f>-CCC!U126</f>
        <v>4.2239583333333339</v>
      </c>
      <c r="R4" s="4">
        <f>-CCC!V126</f>
        <v>3.8516145833333333</v>
      </c>
      <c r="S4" s="4">
        <f>-CCC!W126</f>
        <v>3.2317447916666668</v>
      </c>
      <c r="T4" s="4">
        <f>-CCC!X126</f>
        <v>4.2594531250000003</v>
      </c>
    </row>
    <row r="5" spans="2:20" x14ac:dyDescent="0.25">
      <c r="B5" s="1" t="s">
        <v>170</v>
      </c>
      <c r="C5" s="58">
        <f>+CCC!G130</f>
        <v>0</v>
      </c>
      <c r="D5" s="58">
        <f>+CCC!H130</f>
        <v>0</v>
      </c>
      <c r="E5" s="58">
        <f>+CCC!I130</f>
        <v>0</v>
      </c>
      <c r="F5" s="58">
        <f>+CCC!J130</f>
        <v>1</v>
      </c>
      <c r="G5" s="58">
        <f>+CCC!K130</f>
        <v>1</v>
      </c>
      <c r="H5" s="58">
        <f>+CCC!L130</f>
        <v>1</v>
      </c>
      <c r="I5" s="58">
        <f>+CCC!M130</f>
        <v>1</v>
      </c>
      <c r="J5" s="58">
        <f>+CCC!N130</f>
        <v>1</v>
      </c>
      <c r="K5" s="58">
        <f>+CCC!O130</f>
        <v>1</v>
      </c>
      <c r="L5" s="58">
        <f>+CCC!P130</f>
        <v>1</v>
      </c>
      <c r="M5" s="58">
        <f>+CCC!Q130</f>
        <v>1</v>
      </c>
      <c r="N5" s="58">
        <f>+CCC!R130</f>
        <v>1.5</v>
      </c>
      <c r="O5" s="58">
        <f>+CCC!S130</f>
        <v>1.5</v>
      </c>
      <c r="P5" s="58">
        <f>+CCC!T130</f>
        <v>1.5</v>
      </c>
      <c r="Q5" s="4">
        <f>+CCC!U130</f>
        <v>1.5</v>
      </c>
      <c r="R5" s="4">
        <f>+CCC!V130</f>
        <v>1.6</v>
      </c>
      <c r="S5" s="4">
        <f>+CCC!W130</f>
        <v>1.6</v>
      </c>
      <c r="T5" s="4">
        <f>+CCC!X130</f>
        <v>1.6</v>
      </c>
    </row>
    <row r="6" spans="2:20" x14ac:dyDescent="0.25">
      <c r="B6" s="1" t="s">
        <v>95</v>
      </c>
      <c r="C6" s="58">
        <f>+CCC!G131</f>
        <v>28.4028125</v>
      </c>
      <c r="D6" s="58">
        <f>+CCC!H131</f>
        <v>18.235911458333334</v>
      </c>
      <c r="E6" s="58">
        <f>+CCC!I131</f>
        <v>28.99223958333333</v>
      </c>
      <c r="F6" s="58">
        <f>+CCC!J131</f>
        <v>35.315416666666664</v>
      </c>
      <c r="G6" s="58">
        <f>+CCC!K131</f>
        <v>36.621614583333333</v>
      </c>
      <c r="H6" s="58">
        <f>+CCC!L131</f>
        <v>45.355963541666668</v>
      </c>
      <c r="I6" s="58">
        <f>+CCC!M131</f>
        <v>42.337890625</v>
      </c>
      <c r="J6" s="58">
        <f>+CCC!N131</f>
        <v>45.65958333333333</v>
      </c>
      <c r="K6" s="58">
        <f>+CCC!O131</f>
        <v>53.250911458333334</v>
      </c>
      <c r="L6" s="58">
        <f>+CCC!P131</f>
        <v>44.261223958333332</v>
      </c>
      <c r="M6" s="58">
        <f>+CCC!Q131</f>
        <v>42.274244791666668</v>
      </c>
      <c r="N6" s="58">
        <f>+CCC!R131</f>
        <v>23.920572916666664</v>
      </c>
      <c r="O6" s="58">
        <f>+CCC!S131</f>
        <v>27.175911458333331</v>
      </c>
      <c r="P6" s="58">
        <f>+CCC!T131</f>
        <v>38.649062499999999</v>
      </c>
      <c r="Q6" s="4">
        <f>+CCC!U131</f>
        <v>41.070572916666663</v>
      </c>
      <c r="R6" s="4">
        <f>+CCC!V131</f>
        <v>37.301718749999992</v>
      </c>
      <c r="S6" s="4">
        <f>+CCC!W131</f>
        <v>54.399739583333343</v>
      </c>
      <c r="T6" s="4">
        <f>+CCC!X131</f>
        <v>52.226302083333337</v>
      </c>
    </row>
    <row r="7" spans="2:20" x14ac:dyDescent="0.25"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2:20" x14ac:dyDescent="0.25">
      <c r="B8" s="1" t="s">
        <v>96</v>
      </c>
      <c r="C8" s="4">
        <f t="shared" ref="C8:T8" si="0">SUM(C3:C7)</f>
        <v>36.5</v>
      </c>
      <c r="D8" s="4">
        <f t="shared" si="0"/>
        <v>28.950000000000003</v>
      </c>
      <c r="E8" s="4">
        <f t="shared" si="0"/>
        <v>39</v>
      </c>
      <c r="F8" s="4">
        <f t="shared" si="0"/>
        <v>47</v>
      </c>
      <c r="G8" s="4">
        <f t="shared" si="0"/>
        <v>48.6</v>
      </c>
      <c r="H8" s="4">
        <f t="shared" si="0"/>
        <v>57.35</v>
      </c>
      <c r="I8" s="4">
        <f t="shared" si="0"/>
        <v>54</v>
      </c>
      <c r="J8" s="4">
        <f t="shared" si="0"/>
        <v>57.5</v>
      </c>
      <c r="K8" s="4">
        <f t="shared" si="0"/>
        <v>68</v>
      </c>
      <c r="L8" s="4">
        <f t="shared" si="0"/>
        <v>59.5</v>
      </c>
      <c r="M8" s="4">
        <f t="shared" si="0"/>
        <v>57.5</v>
      </c>
      <c r="N8" s="4">
        <f t="shared" si="0"/>
        <v>42.4</v>
      </c>
      <c r="O8" s="4">
        <f t="shared" si="0"/>
        <v>47</v>
      </c>
      <c r="P8" s="4">
        <f t="shared" si="0"/>
        <v>57.45</v>
      </c>
      <c r="Q8" s="4">
        <f t="shared" si="0"/>
        <v>59</v>
      </c>
      <c r="R8" s="4">
        <f t="shared" si="0"/>
        <v>55.399999999999991</v>
      </c>
      <c r="S8" s="4">
        <f t="shared" si="0"/>
        <v>73.000000000000014</v>
      </c>
      <c r="T8" s="4">
        <f t="shared" si="0"/>
        <v>70.800000000000011</v>
      </c>
    </row>
    <row r="9" spans="2:20" x14ac:dyDescent="0.25"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2:20" x14ac:dyDescent="0.25">
      <c r="B10" s="1" t="s">
        <v>171</v>
      </c>
      <c r="C10" s="4">
        <f>+CCC!G62</f>
        <v>36.5</v>
      </c>
      <c r="D10" s="4">
        <f>+CCC!H62</f>
        <v>28.95</v>
      </c>
      <c r="E10" s="4">
        <f>+CCC!I62</f>
        <v>39</v>
      </c>
      <c r="F10" s="4">
        <f>+CCC!J62</f>
        <v>47</v>
      </c>
      <c r="G10" s="4">
        <f>+CCC!K62</f>
        <v>48.6</v>
      </c>
      <c r="H10" s="4">
        <f>+CCC!L62</f>
        <v>57.35</v>
      </c>
      <c r="I10" s="4">
        <f>+CCC!M62</f>
        <v>54</v>
      </c>
      <c r="J10" s="4">
        <f>+CCC!N62</f>
        <v>57.5</v>
      </c>
      <c r="K10" s="4">
        <f>+CCC!O62</f>
        <v>68</v>
      </c>
      <c r="L10" s="4">
        <f>+CCC!P62</f>
        <v>59.5</v>
      </c>
      <c r="M10" s="4">
        <f>+CCC!Q62</f>
        <v>57.5</v>
      </c>
      <c r="N10" s="4">
        <f>+CCC!R62</f>
        <v>42.4</v>
      </c>
      <c r="O10" s="4">
        <f>+CCC!S62</f>
        <v>47</v>
      </c>
      <c r="P10" s="4">
        <f>+CCC!T62</f>
        <v>57.45</v>
      </c>
      <c r="Q10" s="4">
        <f>+CCC!U62</f>
        <v>59</v>
      </c>
      <c r="R10" s="4">
        <f>+CCC!V62</f>
        <v>55.4</v>
      </c>
      <c r="S10" s="4">
        <f>+CCC!W62</f>
        <v>73</v>
      </c>
      <c r="T10" s="4">
        <f>+CCC!X62</f>
        <v>70.8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CCC</vt:lpstr>
      <vt:lpstr>SCA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Admin3</dc:creator>
  <cp:lastModifiedBy>Admin3</cp:lastModifiedBy>
  <cp:lastPrinted>2014-06-19T09:34:36Z</cp:lastPrinted>
  <dcterms:created xsi:type="dcterms:W3CDTF">2014-05-20T15:27:54Z</dcterms:created>
  <dcterms:modified xsi:type="dcterms:W3CDTF">2014-06-19T10:34:31Z</dcterms:modified>
</cp:coreProperties>
</file>